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ctrlProps/ctrlProp1.xml" ContentType="application/vnd.ms-excel.controlproperties+xml"/>
  <Override PartName="/xl/drawings/drawing11.xml" ContentType="application/vnd.openxmlformats-officedocument.drawing+xml"/>
  <Override PartName="/xl/charts/chart4.xml" ContentType="application/vnd.openxmlformats-officedocument.drawingml.chart+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T:\Internal\01_Regulatory Services\02_Cases\2025 Cases\00_2025-00257 Base Case\06_All Filed Discovery\01_Staff\Set 1\As Filed\"/>
    </mc:Choice>
  </mc:AlternateContent>
  <xr:revisionPtr revIDLastSave="0" documentId="8_{B96BFA2C-F662-4E84-B0F2-1376DD04748A}" xr6:coauthVersionLast="47" xr6:coauthVersionMax="47" xr10:uidLastSave="{00000000-0000-0000-0000-000000000000}"/>
  <bookViews>
    <workbookView xWindow="28680" yWindow="-120" windowWidth="29040" windowHeight="15720" tabRatio="720" firstSheet="9" xr2:uid="{00000000-000D-0000-FFFF-FFFF00000000}"/>
  </bookViews>
  <sheets>
    <sheet name="Figure 1 " sheetId="295" r:id="rId1"/>
    <sheet name="WP - Fig. 1" sheetId="294" r:id="rId2"/>
    <sheet name="Figure 2 " sheetId="286" r:id="rId3"/>
    <sheet name="Figure 3" sheetId="287" r:id="rId4"/>
    <sheet name="Figures 4 &amp; 11" sheetId="204" r:id="rId5"/>
    <sheet name="Figure 5" sheetId="297" r:id="rId6"/>
    <sheet name="Figure 6" sheetId="290" r:id="rId7"/>
    <sheet name="Figure 6-2025 WP" sheetId="291" r:id="rId8"/>
    <sheet name="Figure 6-2024 WP" sheetId="292" r:id="rId9"/>
    <sheet name="Figure 6-2023 WP" sheetId="293" r:id="rId10"/>
    <sheet name="Figures 9 &amp; 10" sheetId="296" r:id="rId11"/>
    <sheet name="Proxy Group Criteria" sheetId="109" r:id="rId12"/>
    <sheet name="Proxy Group Ticker" sheetId="76" r:id="rId13"/>
    <sheet name="Exhibit List" sheetId="62" r:id="rId14"/>
    <sheet name="2" sheetId="224" r:id="rId15"/>
    <sheet name="3 (1)" sheetId="269" r:id="rId16"/>
    <sheet name="3 (2-4)" sheetId="288" r:id="rId17"/>
    <sheet name="3 (5-6)" sheetId="289" r:id="rId18"/>
    <sheet name="4 (1-2)" sheetId="198" r:id="rId19"/>
    <sheet name=" 4 (3)" sheetId="190" r:id="rId20"/>
    <sheet name="5 (1)" sheetId="179" r:id="rId21"/>
    <sheet name="5 (2)" sheetId="180" r:id="rId22"/>
    <sheet name="5 (3)" sheetId="181" r:id="rId23"/>
    <sheet name="6" sheetId="183" r:id="rId24"/>
    <sheet name="7" sheetId="171" r:id="rId25"/>
    <sheet name="8" sheetId="284" r:id="rId26"/>
    <sheet name="9 (1)" sheetId="185" r:id="rId27"/>
    <sheet name="9 (2)" sheetId="187" r:id="rId28"/>
    <sheet name="9 (3)" sheetId="188" r:id="rId29"/>
    <sheet name="10" sheetId="172" r:id="rId30"/>
    <sheet name="11" sheetId="298" r:id="rId31"/>
    <sheet name="12 (1)" sheetId="262" r:id="rId32"/>
    <sheet name="12 (2)" sheetId="263" r:id="rId33"/>
    <sheet name="12 (3)" sheetId="264" r:id="rId34"/>
    <sheet name="Proxy Group Risk Measures" sheetId="65" r:id="rId35"/>
    <sheet name="Stock Price (Utility)" sheetId="182" r:id="rId36"/>
    <sheet name="Stock Price (Non-Utility)" sheetId="265" r:id="rId37"/>
    <sheet name="2025 05 Market DCF" sheetId="206" r:id="rId38"/>
    <sheet name="Bond Yields" sheetId="234" r:id="rId39"/>
    <sheet name="Electric Utility Data" sheetId="48" r:id="rId40"/>
    <sheet name="Kroll Size Adjustment" sheetId="267" r:id="rId41"/>
    <sheet name="Ordinal Ratings" sheetId="49" r:id="rId42"/>
  </sheets>
  <externalReferences>
    <externalReference r:id="rId43"/>
    <externalReference r:id="rId44"/>
  </externalReferences>
  <definedNames>
    <definedName name="_xlnm.Print_Area" localSheetId="19">' 4 (3)'!$A$1:$K$38</definedName>
    <definedName name="_xlnm.Print_Area" localSheetId="29">'10'!$A$1:$J$35</definedName>
    <definedName name="_xlnm.Print_Area" localSheetId="30">'11'!$A$1:$U$66</definedName>
    <definedName name="_xlnm.Print_Area" localSheetId="31">'12 (1)'!$A$1:$J$57</definedName>
    <definedName name="_xlnm.Print_Area" localSheetId="32">'12 (2)'!$A$1:$I$55</definedName>
    <definedName name="_xlnm.Print_Area" localSheetId="33">'12 (3)'!$A$1:$I$56</definedName>
    <definedName name="_xlnm.Print_Area" localSheetId="14">'2'!$A$1:$I$26</definedName>
    <definedName name="_xlnm.Print_Area" localSheetId="37">'2025 05 Market DCF'!$A$5:$S$419</definedName>
    <definedName name="_xlnm.Print_Area" localSheetId="15">'3 (1)'!$A$1:$P$37</definedName>
    <definedName name="_xlnm.Print_Area" localSheetId="16">'3 (2-4)'!$A$10:$Q$103</definedName>
    <definedName name="_xlnm.Print_Area" localSheetId="17">'3 (5-6)'!$A$7:$D$66</definedName>
    <definedName name="_xlnm.Print_Area" localSheetId="18">'4 (1-2)'!$A$7:$G$84</definedName>
    <definedName name="_xlnm.Print_Area" localSheetId="20">'5 (1)'!$A$1:$I$33</definedName>
    <definedName name="_xlnm.Print_Area" localSheetId="21">'5 (2)'!$A$1:$K$34</definedName>
    <definedName name="_xlnm.Print_Area" localSheetId="22">'5 (3)'!$A$1:$L$34</definedName>
    <definedName name="_xlnm.Print_Area" localSheetId="23">'6'!$A$1:$AH$40</definedName>
    <definedName name="_xlnm.Print_Area" localSheetId="24">'7'!$A$1:$M$39</definedName>
    <definedName name="_xlnm.Print_Area" localSheetId="25">'8'!$A$1:$R$40</definedName>
    <definedName name="_xlnm.Print_Area" localSheetId="26">'9 (1)'!$A$1:$H$30</definedName>
    <definedName name="_xlnm.Print_Area" localSheetId="27">'9 (2)'!$A$1:$R$38</definedName>
    <definedName name="_xlnm.Print_Area" localSheetId="28">'9 (3)'!$A$1:$I$25</definedName>
    <definedName name="_xlnm.Print_Area" localSheetId="3">'Figure 3'!$A$3:$M$26</definedName>
    <definedName name="_xlnm.Print_Area" localSheetId="9">'Figure 6-2023 WP'!$A$2:$U$242</definedName>
    <definedName name="_xlnm.Print_Area" localSheetId="8">'Figure 6-2024 WP'!$A$2:$X$245</definedName>
    <definedName name="_xlnm.Print_Area" localSheetId="7">'Figure 6-2025 WP'!$A$2:$X$142</definedName>
    <definedName name="_xlnm.Print_Area" localSheetId="11">'Proxy Group Criteria'!$A$1:$W$48</definedName>
    <definedName name="_xlnm.Print_Area" localSheetId="34">'Proxy Group Risk Measures'!$A$1:$S$34</definedName>
    <definedName name="_xlnm.Print_Area" localSheetId="1">'WP - Fig. 1'!$A$2:$X$49</definedName>
    <definedName name="_xlnm.Print_Titles" localSheetId="37">'2025 05 Market DCF'!$1:$4</definedName>
    <definedName name="_xlnm.Print_Titles" localSheetId="16">'3 (2-4)'!$5:$9</definedName>
    <definedName name="_xlnm.Print_Titles" localSheetId="17">'3 (5-6)'!$4:$6</definedName>
    <definedName name="_xlnm.Print_Titles" localSheetId="18">'4 (1-2)'!$4:$6</definedName>
    <definedName name="Proxysort">'Proxy Group Ticker'!$B$3:$C$38</definedName>
    <definedName name="stockprice">'Stock Price (Utility)'!$C$2:$AO$34</definedName>
    <definedName name="vldatabase">'Electric Utility Data'!$B$8:$AI$43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 i="298" l="1"/>
  <c r="A1" i="298"/>
  <c r="A3" i="298"/>
  <c r="S54" i="298"/>
  <c r="M54" i="298"/>
  <c r="Q54" i="298" s="1"/>
  <c r="U54" i="298" s="1"/>
  <c r="S53" i="298"/>
  <c r="M53" i="298"/>
  <c r="Q53" i="298" s="1"/>
  <c r="U53" i="298" s="1"/>
  <c r="S51" i="298"/>
  <c r="M51" i="298"/>
  <c r="Q51" i="298" s="1"/>
  <c r="U51" i="298" s="1"/>
  <c r="M50" i="298"/>
  <c r="Q50" i="298" s="1"/>
  <c r="U50" i="298" s="1"/>
  <c r="S49" i="298"/>
  <c r="M49" i="298"/>
  <c r="Q49" i="298" s="1"/>
  <c r="U49" i="298" s="1"/>
  <c r="S48" i="298"/>
  <c r="M48" i="298"/>
  <c r="Q48" i="298" s="1"/>
  <c r="A48" i="298"/>
  <c r="A49" i="298" s="1"/>
  <c r="A50" i="298" s="1"/>
  <c r="A51" i="298" s="1"/>
  <c r="A52" i="298" s="1"/>
  <c r="A53" i="298" s="1"/>
  <c r="A54" i="298" s="1"/>
  <c r="S47" i="298"/>
  <c r="M47" i="298"/>
  <c r="Q47" i="298" s="1"/>
  <c r="U47" i="298" s="1"/>
  <c r="S44" i="298"/>
  <c r="M44" i="298"/>
  <c r="Q44" i="298" s="1"/>
  <c r="U44" i="298" s="1"/>
  <c r="S42" i="298"/>
  <c r="K42" i="298"/>
  <c r="M42" i="298" s="1"/>
  <c r="Q42" i="298" s="1"/>
  <c r="S41" i="298"/>
  <c r="K41" i="298"/>
  <c r="M41" i="298" s="1"/>
  <c r="Q41" i="298" s="1"/>
  <c r="U41" i="298" s="1"/>
  <c r="S40" i="298"/>
  <c r="M40" i="298"/>
  <c r="Q40" i="298" s="1"/>
  <c r="U40" i="298" s="1"/>
  <c r="G39" i="298"/>
  <c r="S39" i="298" s="1"/>
  <c r="S38" i="298"/>
  <c r="M38" i="298"/>
  <c r="Q38" i="298" s="1"/>
  <c r="U38" i="298" s="1"/>
  <c r="S37" i="298"/>
  <c r="O37" i="298"/>
  <c r="M37" i="298"/>
  <c r="S36" i="298"/>
  <c r="M36" i="298"/>
  <c r="Q36" i="298" s="1"/>
  <c r="U36" i="298" s="1"/>
  <c r="S35" i="298"/>
  <c r="M35" i="298"/>
  <c r="Q35" i="298" s="1"/>
  <c r="U35" i="298" s="1"/>
  <c r="G33" i="298"/>
  <c r="S33" i="298" s="1"/>
  <c r="S32" i="298"/>
  <c r="M32" i="298"/>
  <c r="Q32" i="298" s="1"/>
  <c r="K31" i="298"/>
  <c r="G31" i="298"/>
  <c r="S31" i="298" s="1"/>
  <c r="S30" i="298"/>
  <c r="M30" i="298"/>
  <c r="Q30" i="298" s="1"/>
  <c r="U30" i="298" s="1"/>
  <c r="G29" i="298"/>
  <c r="S29" i="298" s="1"/>
  <c r="S28" i="298"/>
  <c r="M28" i="298"/>
  <c r="Q28" i="298" s="1"/>
  <c r="U28" i="298" s="1"/>
  <c r="G26" i="298"/>
  <c r="S26" i="298" s="1"/>
  <c r="S25" i="298"/>
  <c r="K25" i="298"/>
  <c r="M25" i="298" s="1"/>
  <c r="Q25" i="298" s="1"/>
  <c r="U25" i="298" s="1"/>
  <c r="S24" i="298"/>
  <c r="M24" i="298"/>
  <c r="Q24" i="298" s="1"/>
  <c r="K24" i="298"/>
  <c r="S22" i="298"/>
  <c r="M22" i="298"/>
  <c r="Q22" i="298" s="1"/>
  <c r="S21" i="298"/>
  <c r="K21" i="298"/>
  <c r="M21" i="298" s="1"/>
  <c r="Q21" i="298" s="1"/>
  <c r="U21" i="298" s="1"/>
  <c r="S20" i="298"/>
  <c r="K20" i="298"/>
  <c r="M20" i="298" s="1"/>
  <c r="S19" i="298"/>
  <c r="M19" i="298"/>
  <c r="Q19" i="298" s="1"/>
  <c r="U19" i="298" s="1"/>
  <c r="S18" i="298"/>
  <c r="K18" i="298"/>
  <c r="M18" i="298" s="1"/>
  <c r="Q18" i="298" s="1"/>
  <c r="U18" i="298" s="1"/>
  <c r="S17" i="298"/>
  <c r="K17" i="298"/>
  <c r="M17" i="298" s="1"/>
  <c r="S16" i="298"/>
  <c r="K16" i="298"/>
  <c r="M16" i="298" s="1"/>
  <c r="Q16" i="298" s="1"/>
  <c r="U16" i="298" s="1"/>
  <c r="G15" i="298"/>
  <c r="S15" i="298" s="1"/>
  <c r="S14" i="298"/>
  <c r="M14" i="298"/>
  <c r="Q14" i="298" s="1"/>
  <c r="U14" i="298" s="1"/>
  <c r="S13" i="298"/>
  <c r="M13" i="298"/>
  <c r="Q13" i="298" s="1"/>
  <c r="U13" i="298" s="1"/>
  <c r="G12" i="298"/>
  <c r="M12" i="298" s="1"/>
  <c r="Q12" i="298" s="1"/>
  <c r="G11" i="298"/>
  <c r="S11" i="298" s="1"/>
  <c r="S10" i="298"/>
  <c r="M10" i="298"/>
  <c r="Q10" i="298" s="1"/>
  <c r="A10" i="298"/>
  <c r="A11" i="298" s="1"/>
  <c r="A12" i="298" s="1"/>
  <c r="A13" i="298" s="1"/>
  <c r="A14" i="298" s="1"/>
  <c r="A15" i="298" s="1"/>
  <c r="A16" i="298" s="1"/>
  <c r="A18" i="298" s="1"/>
  <c r="A19" i="298" s="1"/>
  <c r="A20" i="298" s="1"/>
  <c r="A21" i="298" s="1"/>
  <c r="A22" i="298" s="1"/>
  <c r="A23" i="298" s="1"/>
  <c r="A24" i="298" s="1"/>
  <c r="A25" i="298" s="1"/>
  <c r="A26" i="298" s="1"/>
  <c r="A27" i="298" s="1"/>
  <c r="A28" i="298" s="1"/>
  <c r="A29" i="298" s="1"/>
  <c r="A30" i="298" s="1"/>
  <c r="A31" i="298" s="1"/>
  <c r="A32" i="298" s="1"/>
  <c r="A33" i="298" s="1"/>
  <c r="A34" i="298" s="1"/>
  <c r="A35" i="298" s="1"/>
  <c r="A36" i="298" s="1"/>
  <c r="A37" i="298" s="1"/>
  <c r="A38" i="298" s="1"/>
  <c r="A39" i="298" s="1"/>
  <c r="A40" i="298" s="1"/>
  <c r="A41" i="298" s="1"/>
  <c r="A42" i="298" s="1"/>
  <c r="A43" i="298" s="1"/>
  <c r="A44" i="298" s="1"/>
  <c r="S9" i="298"/>
  <c r="M9" i="298"/>
  <c r="Q9" i="298" s="1"/>
  <c r="U9" i="298" s="1"/>
  <c r="G5" i="298"/>
  <c r="I5" i="298" s="1"/>
  <c r="K5" i="298" s="1"/>
  <c r="M5" i="298" s="1"/>
  <c r="O5" i="298" s="1"/>
  <c r="Q5" i="298" s="1"/>
  <c r="S5" i="298" s="1"/>
  <c r="U5" i="298" s="1"/>
  <c r="U10" i="298" l="1"/>
  <c r="U24" i="298"/>
  <c r="U32" i="298"/>
  <c r="U48" i="298"/>
  <c r="M39" i="298"/>
  <c r="Q39" i="298" s="1"/>
  <c r="U39" i="298" s="1"/>
  <c r="S12" i="298"/>
  <c r="U12" i="298" s="1"/>
  <c r="X24" i="298"/>
  <c r="Q37" i="298"/>
  <c r="U37" i="298" s="1"/>
  <c r="M31" i="298"/>
  <c r="Q31" i="298" s="1"/>
  <c r="U31" i="298" s="1"/>
  <c r="X25" i="298"/>
  <c r="X44" i="298"/>
  <c r="M26" i="298"/>
  <c r="Q26" i="298" s="1"/>
  <c r="U26" i="298" s="1"/>
  <c r="M15" i="298"/>
  <c r="Q15" i="298" s="1"/>
  <c r="U15" i="298" s="1"/>
  <c r="M11" i="298"/>
  <c r="Q11" i="298" s="1"/>
  <c r="U11" i="298" s="1"/>
  <c r="U22" i="298"/>
  <c r="X41" i="298"/>
  <c r="U42" i="298"/>
  <c r="X16" i="298"/>
  <c r="U55" i="298"/>
  <c r="X17" i="298"/>
  <c r="Q17" i="298"/>
  <c r="U17" i="298" s="1"/>
  <c r="X18" i="298"/>
  <c r="X42" i="298"/>
  <c r="Q20" i="298"/>
  <c r="U20" i="298" s="1"/>
  <c r="X20" i="298"/>
  <c r="M33" i="298"/>
  <c r="Q33" i="298" s="1"/>
  <c r="U33" i="298" s="1"/>
  <c r="M29" i="298"/>
  <c r="Q29" i="298" s="1"/>
  <c r="U29" i="298" s="1"/>
  <c r="U57" i="298" l="1"/>
  <c r="U45" i="298"/>
  <c r="X31" i="298"/>
  <c r="B3" i="297"/>
  <c r="B4" i="297" s="1"/>
  <c r="B5" i="297" s="1"/>
  <c r="B6" i="297" s="1"/>
  <c r="B7" i="297" s="1"/>
  <c r="B8" i="297" s="1"/>
  <c r="B9" i="297" s="1"/>
  <c r="B10" i="297" s="1"/>
  <c r="B11" i="297" s="1"/>
  <c r="F11" i="234" l="1"/>
  <c r="F10" i="234"/>
  <c r="F9" i="234"/>
  <c r="F8" i="234"/>
  <c r="F7" i="234"/>
  <c r="K15" i="296"/>
  <c r="K16" i="296" s="1"/>
  <c r="D15" i="296"/>
  <c r="H14" i="296"/>
  <c r="L14" i="296" s="1"/>
  <c r="K6" i="296"/>
  <c r="K7" i="296" s="1"/>
  <c r="D6" i="296"/>
  <c r="D7" i="296" s="1"/>
  <c r="H5" i="296"/>
  <c r="L5" i="296" s="1"/>
  <c r="F6" i="296" s="1"/>
  <c r="H6" i="296" l="1"/>
  <c r="J5" i="296"/>
  <c r="J6" i="296" s="1"/>
  <c r="J7" i="296" s="1"/>
  <c r="N14" i="296"/>
  <c r="F15" i="296"/>
  <c r="H15" i="296" s="1"/>
  <c r="N5" i="296"/>
  <c r="J14" i="296"/>
  <c r="J15" i="296" s="1"/>
  <c r="J16" i="296" s="1"/>
  <c r="D16" i="296"/>
  <c r="I6" i="296" l="1"/>
  <c r="L6" i="296"/>
  <c r="M6" i="296" s="1"/>
  <c r="N6" i="296" s="1"/>
  <c r="I15" i="296"/>
  <c r="L15" i="296"/>
  <c r="F7" i="296" l="1"/>
  <c r="H7" i="296" s="1"/>
  <c r="M15" i="296"/>
  <c r="N15" i="296" s="1"/>
  <c r="F16" i="296" l="1"/>
  <c r="H16" i="296" s="1"/>
  <c r="I7" i="296"/>
  <c r="I8" i="296" s="1"/>
  <c r="H8" i="296"/>
  <c r="L7" i="296"/>
  <c r="L8" i="296" l="1"/>
  <c r="M7" i="296"/>
  <c r="H17" i="296"/>
  <c r="L16" i="296"/>
  <c r="I16" i="296"/>
  <c r="I17" i="296" s="1"/>
  <c r="L17" i="296" l="1"/>
  <c r="M16" i="296"/>
  <c r="N7" i="296"/>
  <c r="M8" i="296"/>
  <c r="M17" i="296" l="1"/>
  <c r="N16" i="296"/>
  <c r="E60" i="294"/>
  <c r="G15" i="294" s="1"/>
  <c r="G22" i="294"/>
  <c r="G6" i="294"/>
  <c r="G18" i="294"/>
  <c r="G17" i="294"/>
  <c r="G8" i="294"/>
  <c r="G12" i="294"/>
  <c r="G10" i="294"/>
  <c r="G21" i="294"/>
  <c r="G9" i="294"/>
  <c r="G48" i="294"/>
  <c r="G32" i="294"/>
  <c r="G29" i="294"/>
  <c r="G42" i="294"/>
  <c r="G46" i="294"/>
  <c r="G16" i="294"/>
  <c r="G25" i="294"/>
  <c r="G45" i="294"/>
  <c r="G47" i="294"/>
  <c r="G24" i="294"/>
  <c r="G37" i="294"/>
  <c r="G27" i="294"/>
  <c r="G20" i="294"/>
  <c r="G40" i="294"/>
  <c r="G44" i="294"/>
  <c r="G7" i="294"/>
  <c r="G31" i="294"/>
  <c r="G23" i="294"/>
  <c r="G39" i="294"/>
  <c r="G36" i="294"/>
  <c r="G34" i="294"/>
  <c r="G19" i="294"/>
  <c r="G41" i="294"/>
  <c r="G13" i="294"/>
  <c r="G30" i="294"/>
  <c r="G38" i="294"/>
  <c r="G26" i="294"/>
  <c r="G28" i="294"/>
  <c r="G11" i="294"/>
  <c r="G33" i="294"/>
  <c r="G35" i="294"/>
  <c r="G43" i="294"/>
  <c r="G5" i="294"/>
  <c r="G14" i="294"/>
  <c r="T31" i="65"/>
  <c r="T12" i="65"/>
  <c r="T25" i="65"/>
  <c r="T27" i="65"/>
  <c r="T21" i="65"/>
  <c r="T20" i="65"/>
  <c r="T29" i="65" l="1"/>
  <c r="N11" i="290" l="1"/>
  <c r="L11" i="290"/>
  <c r="J11" i="290"/>
  <c r="G11" i="290"/>
  <c r="E11" i="290"/>
  <c r="C11" i="290"/>
  <c r="N10" i="290"/>
  <c r="L10" i="290"/>
  <c r="J10" i="290"/>
  <c r="G10" i="290"/>
  <c r="E10" i="290"/>
  <c r="C10" i="290"/>
  <c r="N9" i="290"/>
  <c r="L9" i="290"/>
  <c r="J9" i="290"/>
  <c r="G9" i="290"/>
  <c r="E9" i="290"/>
  <c r="C9" i="290"/>
  <c r="N8" i="290"/>
  <c r="L8" i="290"/>
  <c r="J8" i="290"/>
  <c r="G8" i="290"/>
  <c r="E8" i="290"/>
  <c r="C8" i="290"/>
  <c r="N7" i="290"/>
  <c r="L7" i="290"/>
  <c r="J7" i="290"/>
  <c r="G7" i="290"/>
  <c r="E7" i="290"/>
  <c r="C7" i="290"/>
  <c r="N6" i="290"/>
  <c r="L6" i="290"/>
  <c r="J6" i="290"/>
  <c r="G6" i="290"/>
  <c r="E6" i="290"/>
  <c r="C6" i="290"/>
  <c r="N5" i="290"/>
  <c r="L5" i="290"/>
  <c r="J5" i="290"/>
  <c r="G5" i="290"/>
  <c r="E5" i="290"/>
  <c r="C5" i="290"/>
  <c r="N4" i="290"/>
  <c r="L4" i="290"/>
  <c r="J4" i="290"/>
  <c r="J12" i="290" s="1"/>
  <c r="G4" i="290"/>
  <c r="E4" i="290"/>
  <c r="C4" i="290"/>
  <c r="C12" i="290" l="1"/>
  <c r="L12" i="290"/>
  <c r="N12" i="290"/>
  <c r="E12" i="290"/>
  <c r="G12" i="290"/>
  <c r="L68" i="198"/>
  <c r="F68" i="198" s="1"/>
  <c r="L63" i="198"/>
  <c r="D63" i="198" s="1"/>
  <c r="L62" i="198"/>
  <c r="D62" i="198" s="1"/>
  <c r="L61" i="198"/>
  <c r="F61" i="198" s="1"/>
  <c r="L60" i="198"/>
  <c r="F60" i="198" s="1"/>
  <c r="L59" i="198"/>
  <c r="E59" i="198" s="1"/>
  <c r="L44" i="198"/>
  <c r="D44" i="198" s="1"/>
  <c r="L28" i="198"/>
  <c r="F28" i="198" s="1"/>
  <c r="L22" i="198"/>
  <c r="F22" i="198" s="1"/>
  <c r="L21" i="198"/>
  <c r="D21" i="198" s="1"/>
  <c r="D61" i="198" l="1"/>
  <c r="E62" i="198"/>
  <c r="F62" i="198"/>
  <c r="D28" i="198"/>
  <c r="E28" i="198"/>
  <c r="F59" i="198"/>
  <c r="D60" i="198"/>
  <c r="E60" i="198"/>
  <c r="F63" i="198"/>
  <c r="E21" i="198"/>
  <c r="E63" i="198"/>
  <c r="F21" i="198"/>
  <c r="E44" i="198"/>
  <c r="D22" i="198"/>
  <c r="F44" i="198"/>
  <c r="E61" i="198"/>
  <c r="D68" i="198"/>
  <c r="E22" i="198"/>
  <c r="D59" i="198"/>
  <c r="E68" i="198"/>
  <c r="A9" i="289"/>
  <c r="B101" i="288"/>
  <c r="Q96" i="288"/>
  <c r="P96" i="288"/>
  <c r="O96" i="288"/>
  <c r="M96" i="288"/>
  <c r="L96" i="288"/>
  <c r="K96" i="288"/>
  <c r="J96" i="288"/>
  <c r="I96" i="288"/>
  <c r="H96" i="288"/>
  <c r="G96" i="288"/>
  <c r="F96" i="288"/>
  <c r="E96" i="288"/>
  <c r="D96" i="288"/>
  <c r="C96" i="288"/>
  <c r="A13" i="288"/>
  <c r="A11" i="269"/>
  <c r="A12" i="269" s="1"/>
  <c r="A13" i="269" s="1"/>
  <c r="A14" i="269" s="1"/>
  <c r="A15" i="269" s="1"/>
  <c r="A16" i="269" s="1"/>
  <c r="A17" i="269" s="1"/>
  <c r="A18" i="269" s="1"/>
  <c r="A19" i="269" s="1"/>
  <c r="A20" i="269" s="1"/>
  <c r="A21" i="269" s="1"/>
  <c r="A22" i="269" s="1"/>
  <c r="A23" i="269" s="1"/>
  <c r="A24" i="269" s="1"/>
  <c r="A25" i="269" s="1"/>
  <c r="A26" i="269" s="1"/>
  <c r="A27" i="269" s="1"/>
  <c r="A28" i="269" s="1"/>
  <c r="A29" i="269" s="1"/>
  <c r="A16" i="289" l="1"/>
  <c r="A19" i="289"/>
  <c r="A26" i="288"/>
  <c r="A21" i="289" l="1"/>
  <c r="A30" i="288"/>
  <c r="A23" i="289" l="1"/>
  <c r="A25" i="289"/>
  <c r="A34" i="288"/>
  <c r="A28" i="289" l="1"/>
  <c r="A30" i="289"/>
  <c r="A37" i="288"/>
  <c r="A39" i="288" s="1"/>
  <c r="A33" i="289" l="1"/>
  <c r="A43" i="288"/>
  <c r="A35" i="289"/>
  <c r="A45" i="288"/>
  <c r="A39" i="289" l="1"/>
  <c r="A54" i="288"/>
  <c r="A44" i="289" l="1"/>
  <c r="A48" i="289" s="1"/>
  <c r="A53" i="289" s="1"/>
  <c r="A55" i="289" s="1"/>
  <c r="A58" i="289" s="1"/>
  <c r="A61" i="289" s="1"/>
  <c r="A63" i="289" s="1"/>
  <c r="A65" i="289" s="1"/>
  <c r="A56" i="288"/>
  <c r="A62" i="288" l="1"/>
  <c r="A68" i="288" s="1"/>
  <c r="A72" i="288" s="1"/>
  <c r="A79" i="288" s="1"/>
  <c r="A82" i="288" s="1"/>
  <c r="A85" i="288" s="1"/>
  <c r="A89" i="288" s="1"/>
  <c r="A91" i="288" s="1"/>
  <c r="A93" i="288" s="1"/>
  <c r="B22" i="287"/>
  <c r="O30" i="287"/>
  <c r="N30" i="287"/>
  <c r="M30" i="287"/>
  <c r="L30" i="287"/>
  <c r="K30" i="287"/>
  <c r="J30" i="287"/>
  <c r="O29" i="287"/>
  <c r="N29" i="287"/>
  <c r="M29" i="287"/>
  <c r="L29" i="287"/>
  <c r="K29" i="287"/>
  <c r="J29" i="287"/>
  <c r="O28" i="287"/>
  <c r="N28" i="287"/>
  <c r="M28" i="287"/>
  <c r="L28" i="287"/>
  <c r="K28" i="287"/>
  <c r="J28" i="287"/>
  <c r="C12" i="286"/>
  <c r="C8" i="286"/>
  <c r="C6" i="286"/>
  <c r="C4" i="286"/>
  <c r="I41" i="286"/>
  <c r="H40" i="286"/>
  <c r="H39" i="286"/>
  <c r="H38" i="286"/>
  <c r="H37" i="286"/>
  <c r="H36" i="286"/>
  <c r="A36" i="286"/>
  <c r="A37" i="286" s="1"/>
  <c r="A38" i="286" s="1"/>
  <c r="A39" i="286" s="1"/>
  <c r="A40" i="286" s="1"/>
  <c r="H35" i="286"/>
  <c r="H41" i="286" s="1"/>
  <c r="I33" i="286"/>
  <c r="B10" i="286" s="1"/>
  <c r="D33" i="286"/>
  <c r="B8" i="286" s="1"/>
  <c r="C33" i="286"/>
  <c r="B6" i="286" s="1"/>
  <c r="B33" i="286"/>
  <c r="B4" i="286" s="1"/>
  <c r="H32" i="286"/>
  <c r="H31" i="286"/>
  <c r="H30" i="286"/>
  <c r="H29" i="286"/>
  <c r="H28" i="286"/>
  <c r="H27" i="286"/>
  <c r="H26" i="286"/>
  <c r="H25" i="286"/>
  <c r="H24" i="286"/>
  <c r="H23" i="286"/>
  <c r="H22" i="286"/>
  <c r="H21" i="286"/>
  <c r="D4" i="286" l="1"/>
  <c r="D6" i="286"/>
  <c r="H33" i="286"/>
  <c r="B12" i="286" s="1"/>
  <c r="D12" i="286" s="1"/>
  <c r="D10" i="286"/>
  <c r="D8" i="286"/>
  <c r="F44" i="264" l="1"/>
  <c r="M44" i="264" s="1"/>
  <c r="H40" i="264"/>
  <c r="N40" i="264" s="1"/>
  <c r="F40" i="264"/>
  <c r="M40" i="264" s="1"/>
  <c r="H22" i="264"/>
  <c r="N22" i="264" s="1"/>
  <c r="L12" i="234"/>
  <c r="F12" i="234"/>
  <c r="L11" i="234"/>
  <c r="L10" i="234"/>
  <c r="L9" i="234"/>
  <c r="L8" i="234"/>
  <c r="L7" i="234"/>
  <c r="J90" i="234" l="1"/>
  <c r="I90" i="234"/>
  <c r="F25" i="234" s="1"/>
  <c r="H30" i="287" s="1"/>
  <c r="H90" i="234"/>
  <c r="F23" i="234" s="1"/>
  <c r="H28" i="287" s="1"/>
  <c r="G90" i="234"/>
  <c r="E90" i="234"/>
  <c r="D90" i="234"/>
  <c r="C90" i="234"/>
  <c r="F89" i="234"/>
  <c r="F88" i="234"/>
  <c r="F87" i="234"/>
  <c r="F86" i="234"/>
  <c r="F85" i="234"/>
  <c r="F84" i="234"/>
  <c r="F83" i="234"/>
  <c r="F82" i="234"/>
  <c r="F81" i="234"/>
  <c r="F80" i="234"/>
  <c r="F79" i="234"/>
  <c r="F78" i="234"/>
  <c r="J76" i="234"/>
  <c r="I76" i="234"/>
  <c r="E25" i="234" s="1"/>
  <c r="G30" i="287" s="1"/>
  <c r="H76" i="234"/>
  <c r="E23" i="234" s="1"/>
  <c r="G28" i="287" s="1"/>
  <c r="G76" i="234"/>
  <c r="E24" i="234" s="1"/>
  <c r="G29" i="287" s="1"/>
  <c r="E76" i="234"/>
  <c r="D76" i="234"/>
  <c r="C76" i="234"/>
  <c r="E26" i="234" s="1"/>
  <c r="G31" i="287" s="1"/>
  <c r="F75" i="234"/>
  <c r="F74" i="234"/>
  <c r="F73" i="234"/>
  <c r="F72" i="234"/>
  <c r="F71" i="234"/>
  <c r="F70" i="234"/>
  <c r="F69" i="234"/>
  <c r="F68" i="234"/>
  <c r="F67" i="234"/>
  <c r="F66" i="234"/>
  <c r="F65" i="234"/>
  <c r="F64" i="234"/>
  <c r="J62" i="234"/>
  <c r="I62" i="234"/>
  <c r="D25" i="234" s="1"/>
  <c r="F30" i="287" s="1"/>
  <c r="H62" i="234"/>
  <c r="G62" i="234"/>
  <c r="D24" i="234" s="1"/>
  <c r="F29" i="287" s="1"/>
  <c r="E62" i="234"/>
  <c r="D62" i="234"/>
  <c r="C62" i="234"/>
  <c r="D26" i="234" s="1"/>
  <c r="F31" i="287" s="1"/>
  <c r="F61" i="234"/>
  <c r="F60" i="234"/>
  <c r="F59" i="234"/>
  <c r="F58" i="234"/>
  <c r="F57" i="234"/>
  <c r="F56" i="234"/>
  <c r="F55" i="234"/>
  <c r="F54" i="234"/>
  <c r="F53" i="234"/>
  <c r="F52" i="234"/>
  <c r="F51" i="234"/>
  <c r="F50" i="234"/>
  <c r="J48" i="234"/>
  <c r="I48" i="234"/>
  <c r="C25" i="234" s="1"/>
  <c r="E30" i="287" s="1"/>
  <c r="H48" i="234"/>
  <c r="C23" i="234" s="1"/>
  <c r="E28" i="287" s="1"/>
  <c r="G48" i="234"/>
  <c r="C24" i="234" s="1"/>
  <c r="E29" i="287" s="1"/>
  <c r="E48" i="234"/>
  <c r="D48" i="234"/>
  <c r="C48" i="234"/>
  <c r="C26" i="234" s="1"/>
  <c r="E31" i="287" s="1"/>
  <c r="F47" i="234"/>
  <c r="F46" i="234"/>
  <c r="F45" i="234"/>
  <c r="F44" i="234"/>
  <c r="F43" i="234"/>
  <c r="F42" i="234"/>
  <c r="F41" i="234"/>
  <c r="F40" i="234"/>
  <c r="F39" i="234"/>
  <c r="F38" i="234"/>
  <c r="F37" i="234"/>
  <c r="F36" i="234"/>
  <c r="G25" i="234"/>
  <c r="I30" i="287" s="1"/>
  <c r="G24" i="234"/>
  <c r="I29" i="287" s="1"/>
  <c r="F24" i="234"/>
  <c r="H29" i="287" s="1"/>
  <c r="G23" i="234"/>
  <c r="I28" i="287" s="1"/>
  <c r="D23" i="234"/>
  <c r="F28" i="287" s="1"/>
  <c r="J14" i="234"/>
  <c r="I14" i="234"/>
  <c r="H14" i="234"/>
  <c r="G14" i="234"/>
  <c r="E14" i="234"/>
  <c r="D14" i="234"/>
  <c r="C14" i="234"/>
  <c r="D39" i="181" s="1"/>
  <c r="K394" i="206"/>
  <c r="K393" i="206"/>
  <c r="K392" i="206"/>
  <c r="K391" i="206"/>
  <c r="K390" i="206"/>
  <c r="K389" i="206"/>
  <c r="I394" i="206"/>
  <c r="T394" i="206" s="1"/>
  <c r="H394" i="206"/>
  <c r="G394" i="206"/>
  <c r="F394" i="206"/>
  <c r="I393" i="206"/>
  <c r="H393" i="206"/>
  <c r="G393" i="206"/>
  <c r="F393" i="206"/>
  <c r="I392" i="206"/>
  <c r="T392" i="206" s="1"/>
  <c r="H392" i="206"/>
  <c r="G392" i="206"/>
  <c r="N392" i="206" s="1"/>
  <c r="F392" i="206"/>
  <c r="I391" i="206"/>
  <c r="H391" i="206"/>
  <c r="G391" i="206"/>
  <c r="F391" i="206"/>
  <c r="I390" i="206"/>
  <c r="H390" i="206"/>
  <c r="Q390" i="206" s="1"/>
  <c r="R390" i="206" s="1"/>
  <c r="S390" i="206" s="1"/>
  <c r="G390" i="206"/>
  <c r="N390" i="206" s="1"/>
  <c r="O390" i="206" s="1"/>
  <c r="P390" i="206" s="1"/>
  <c r="F390" i="206"/>
  <c r="I389" i="206"/>
  <c r="H389" i="206"/>
  <c r="G389" i="206"/>
  <c r="F389" i="206"/>
  <c r="T390" i="206" l="1"/>
  <c r="N394" i="206"/>
  <c r="F23" i="171"/>
  <c r="F10" i="284"/>
  <c r="F11" i="284"/>
  <c r="F12" i="284"/>
  <c r="F22" i="284"/>
  <c r="F23" i="284"/>
  <c r="F13" i="284"/>
  <c r="F14" i="284"/>
  <c r="F15" i="284"/>
  <c r="F16" i="284"/>
  <c r="F24" i="284"/>
  <c r="F25" i="284"/>
  <c r="F18" i="284"/>
  <c r="F26" i="284"/>
  <c r="F19" i="284"/>
  <c r="F27" i="284"/>
  <c r="F20" i="284"/>
  <c r="F28" i="284"/>
  <c r="F21" i="284"/>
  <c r="F9" i="284"/>
  <c r="F17" i="284"/>
  <c r="F26" i="234"/>
  <c r="H31" i="287" s="1"/>
  <c r="D93" i="234"/>
  <c r="Q393" i="206"/>
  <c r="Q394" i="206"/>
  <c r="F90" i="234"/>
  <c r="Q392" i="206"/>
  <c r="I15" i="234"/>
  <c r="M26" i="234" s="1"/>
  <c r="O31" i="287" s="1"/>
  <c r="F76" i="234"/>
  <c r="F10" i="171"/>
  <c r="F18" i="171"/>
  <c r="F26" i="171"/>
  <c r="F13" i="171"/>
  <c r="F21" i="171"/>
  <c r="F14" i="234"/>
  <c r="F48" i="234"/>
  <c r="F16" i="171"/>
  <c r="F24" i="171"/>
  <c r="F11" i="171"/>
  <c r="F19" i="171"/>
  <c r="F27" i="171"/>
  <c r="F14" i="171"/>
  <c r="F22" i="171"/>
  <c r="F62" i="234"/>
  <c r="F17" i="171"/>
  <c r="F25" i="171"/>
  <c r="F12" i="171"/>
  <c r="F20" i="171"/>
  <c r="F28" i="171"/>
  <c r="F15" i="171"/>
  <c r="N389" i="206"/>
  <c r="N391" i="206"/>
  <c r="N393" i="206"/>
  <c r="T393" i="206"/>
  <c r="T391" i="206"/>
  <c r="T389" i="206"/>
  <c r="Q389" i="206"/>
  <c r="Q391" i="206"/>
  <c r="G26" i="234" l="1"/>
  <c r="I31" i="287" s="1"/>
  <c r="H26" i="234"/>
  <c r="J31" i="287" s="1"/>
  <c r="J26" i="234"/>
  <c r="L31" i="287" s="1"/>
  <c r="K26" i="234"/>
  <c r="M31" i="287" s="1"/>
  <c r="L26" i="234"/>
  <c r="N31" i="287" s="1"/>
  <c r="I26" i="234"/>
  <c r="K31" i="287" s="1"/>
  <c r="B40" i="284"/>
  <c r="B39" i="284"/>
  <c r="B38" i="284"/>
  <c r="B36" i="284"/>
  <c r="B34" i="284"/>
  <c r="B33" i="284"/>
  <c r="A3" i="284"/>
  <c r="A1" i="284"/>
  <c r="R1" i="284"/>
  <c r="D44" i="284"/>
  <c r="D43" i="284"/>
  <c r="A9" i="284"/>
  <c r="A10" i="284" s="1"/>
  <c r="A11" i="284" s="1"/>
  <c r="A12" i="284" s="1"/>
  <c r="A13" i="284" s="1"/>
  <c r="A14" i="284" s="1"/>
  <c r="A15" i="284" s="1"/>
  <c r="A16" i="284" s="1"/>
  <c r="A17" i="284" s="1"/>
  <c r="A18" i="284" s="1"/>
  <c r="A19" i="284" s="1"/>
  <c r="A20" i="284" s="1"/>
  <c r="A21" i="284" s="1"/>
  <c r="A22" i="284" s="1"/>
  <c r="A23" i="284" s="1"/>
  <c r="A24" i="284" s="1"/>
  <c r="A25" i="284" s="1"/>
  <c r="A26" i="284" s="1"/>
  <c r="A27" i="284" s="1"/>
  <c r="A28" i="284" s="1"/>
  <c r="BB34" i="265" l="1"/>
  <c r="E52" i="262" s="1"/>
  <c r="I52" i="262" s="1"/>
  <c r="C2" i="265" a="1"/>
  <c r="AI2" i="265" s="1"/>
  <c r="N78" i="65"/>
  <c r="N79" i="65"/>
  <c r="N80" i="65"/>
  <c r="N81" i="65"/>
  <c r="I78" i="65"/>
  <c r="I79" i="65"/>
  <c r="I80" i="65"/>
  <c r="I81" i="65"/>
  <c r="I82" i="65"/>
  <c r="F78" i="65"/>
  <c r="F79" i="65"/>
  <c r="F80" i="65"/>
  <c r="F81" i="65"/>
  <c r="B8" i="264"/>
  <c r="B9" i="264"/>
  <c r="B10" i="264"/>
  <c r="B11" i="264"/>
  <c r="B12" i="264"/>
  <c r="B13" i="264"/>
  <c r="B14" i="264"/>
  <c r="B15" i="264"/>
  <c r="B16" i="264"/>
  <c r="B17" i="264"/>
  <c r="B18" i="264"/>
  <c r="B19" i="264"/>
  <c r="B20" i="264"/>
  <c r="B21" i="264"/>
  <c r="B22" i="264"/>
  <c r="B23" i="264"/>
  <c r="B24" i="264"/>
  <c r="B25" i="264"/>
  <c r="B26" i="264"/>
  <c r="B27" i="264"/>
  <c r="B28" i="264"/>
  <c r="B29" i="264"/>
  <c r="B30" i="264"/>
  <c r="B31" i="264"/>
  <c r="B32" i="264"/>
  <c r="B33" i="264"/>
  <c r="B34" i="264"/>
  <c r="B35" i="264"/>
  <c r="B36" i="264"/>
  <c r="B37" i="264"/>
  <c r="B38" i="264"/>
  <c r="B39" i="264"/>
  <c r="B40" i="264"/>
  <c r="B41" i="264"/>
  <c r="B42" i="264"/>
  <c r="B43" i="264"/>
  <c r="B44" i="264"/>
  <c r="B45" i="264"/>
  <c r="B46" i="264"/>
  <c r="B47" i="264"/>
  <c r="B48" i="264"/>
  <c r="B49" i="264"/>
  <c r="B50" i="264"/>
  <c r="B51" i="264"/>
  <c r="B8" i="263"/>
  <c r="B9" i="263"/>
  <c r="B10" i="263"/>
  <c r="B11" i="263"/>
  <c r="B12" i="263"/>
  <c r="B13" i="263"/>
  <c r="B14" i="263"/>
  <c r="B15" i="263"/>
  <c r="B16" i="263"/>
  <c r="B17" i="263"/>
  <c r="B18" i="263"/>
  <c r="B19" i="263"/>
  <c r="B20" i="263"/>
  <c r="B21" i="263"/>
  <c r="B22" i="263"/>
  <c r="B23" i="263"/>
  <c r="B24" i="263"/>
  <c r="B25" i="263"/>
  <c r="B26" i="263"/>
  <c r="B27" i="263"/>
  <c r="B28" i="263"/>
  <c r="B29" i="263"/>
  <c r="B30" i="263"/>
  <c r="B31" i="263"/>
  <c r="B32" i="263"/>
  <c r="B33" i="263"/>
  <c r="B34" i="263"/>
  <c r="B35" i="263"/>
  <c r="B36" i="263"/>
  <c r="B37" i="263"/>
  <c r="B38" i="263"/>
  <c r="B39" i="263"/>
  <c r="B40" i="263"/>
  <c r="B41" i="263"/>
  <c r="B42" i="263"/>
  <c r="B43" i="263"/>
  <c r="B44" i="263"/>
  <c r="B45" i="263"/>
  <c r="B46" i="263"/>
  <c r="B47" i="263"/>
  <c r="B48" i="263"/>
  <c r="B49" i="263"/>
  <c r="B50" i="263"/>
  <c r="B51" i="263"/>
  <c r="H51" i="264" l="1"/>
  <c r="F51" i="264"/>
  <c r="D51" i="264"/>
  <c r="AZ2" i="265"/>
  <c r="AQ2" i="265"/>
  <c r="K2" i="265"/>
  <c r="AP2" i="265"/>
  <c r="Z2" i="265"/>
  <c r="J2" i="265"/>
  <c r="AO2" i="265"/>
  <c r="AG2" i="265"/>
  <c r="Y2" i="265"/>
  <c r="Q2" i="265"/>
  <c r="I2" i="265"/>
  <c r="AV2" i="265"/>
  <c r="AN2" i="265"/>
  <c r="AF2" i="265"/>
  <c r="X2" i="265"/>
  <c r="P2" i="265"/>
  <c r="H2" i="265"/>
  <c r="AA2" i="265"/>
  <c r="AY2" i="265"/>
  <c r="S2" i="265"/>
  <c r="AX2" i="265"/>
  <c r="AH2" i="265"/>
  <c r="R2" i="265"/>
  <c r="AW2" i="265"/>
  <c r="AU2" i="265"/>
  <c r="AE2" i="265"/>
  <c r="O2" i="265"/>
  <c r="BB2" i="265"/>
  <c r="AT2" i="265"/>
  <c r="AL2" i="265"/>
  <c r="AD2" i="265"/>
  <c r="V2" i="265"/>
  <c r="N2" i="265"/>
  <c r="F2" i="265"/>
  <c r="AM2" i="265"/>
  <c r="W2" i="265"/>
  <c r="G2" i="265"/>
  <c r="BA2" i="265"/>
  <c r="AS2" i="265"/>
  <c r="AK2" i="265"/>
  <c r="AC2" i="265"/>
  <c r="U2" i="265"/>
  <c r="M2" i="265"/>
  <c r="E2" i="265"/>
  <c r="AR2" i="265"/>
  <c r="AJ2" i="265"/>
  <c r="AB2" i="265"/>
  <c r="T2" i="265"/>
  <c r="L2" i="265"/>
  <c r="D2" i="265"/>
  <c r="C2" i="265"/>
  <c r="Z42" i="48"/>
  <c r="Z41" i="48"/>
  <c r="Z39" i="48"/>
  <c r="Z35" i="48"/>
  <c r="Z33" i="48"/>
  <c r="Z31" i="48"/>
  <c r="Z30" i="48"/>
  <c r="Z26" i="48"/>
  <c r="Z25" i="48"/>
  <c r="Z24" i="48"/>
  <c r="Z23" i="48"/>
  <c r="Z19" i="48"/>
  <c r="Z17" i="48"/>
  <c r="Z16" i="48"/>
  <c r="Z12" i="48"/>
  <c r="P1" i="269" l="1"/>
  <c r="B35" i="269" s="1"/>
  <c r="P30" i="269" l="1"/>
  <c r="O30" i="269"/>
  <c r="N30" i="269"/>
  <c r="L30" i="269"/>
  <c r="K30" i="269"/>
  <c r="J30" i="269"/>
  <c r="I30" i="269"/>
  <c r="H30" i="269"/>
  <c r="G30" i="269"/>
  <c r="F30" i="269"/>
  <c r="E30" i="269"/>
  <c r="D30" i="269"/>
  <c r="C30" i="269"/>
  <c r="L77" i="198" l="1"/>
  <c r="E77" i="198" s="1"/>
  <c r="L76" i="198"/>
  <c r="F76" i="198" s="1"/>
  <c r="L74" i="198"/>
  <c r="E74" i="198" s="1"/>
  <c r="L72" i="198"/>
  <c r="F72" i="198" s="1"/>
  <c r="L70" i="198"/>
  <c r="E70" i="198" s="1"/>
  <c r="L67" i="198"/>
  <c r="F67" i="198" s="1"/>
  <c r="L65" i="198"/>
  <c r="D65" i="198" s="1"/>
  <c r="L57" i="198"/>
  <c r="E57" i="198" s="1"/>
  <c r="L56" i="198"/>
  <c r="D56" i="198" s="1"/>
  <c r="L55" i="198"/>
  <c r="F55" i="198" s="1"/>
  <c r="L53" i="198"/>
  <c r="F53" i="198" s="1"/>
  <c r="L52" i="198"/>
  <c r="E52" i="198" s="1"/>
  <c r="L50" i="198"/>
  <c r="F50" i="198" s="1"/>
  <c r="L49" i="198"/>
  <c r="E49" i="198" s="1"/>
  <c r="L48" i="198"/>
  <c r="F48" i="198" s="1"/>
  <c r="L47" i="198"/>
  <c r="E47" i="198" s="1"/>
  <c r="L46" i="198"/>
  <c r="D46" i="198" s="1"/>
  <c r="L42" i="198"/>
  <c r="F42" i="198" s="1"/>
  <c r="L41" i="198"/>
  <c r="F41" i="198" s="1"/>
  <c r="L40" i="198"/>
  <c r="E40" i="198" s="1"/>
  <c r="L39" i="198"/>
  <c r="F39" i="198" s="1"/>
  <c r="L38" i="198"/>
  <c r="E38" i="198" s="1"/>
  <c r="L37" i="198"/>
  <c r="F37" i="198" s="1"/>
  <c r="L35" i="198"/>
  <c r="E35" i="198" s="1"/>
  <c r="L33" i="198"/>
  <c r="D33" i="198" s="1"/>
  <c r="L32" i="198"/>
  <c r="F32" i="198" s="1"/>
  <c r="L30" i="198"/>
  <c r="E30" i="198" s="1"/>
  <c r="L26" i="198"/>
  <c r="F26" i="198" s="1"/>
  <c r="L25" i="198"/>
  <c r="E25" i="198" s="1"/>
  <c r="L24" i="198"/>
  <c r="D24" i="198" s="1"/>
  <c r="L19" i="198"/>
  <c r="F19" i="198" s="1"/>
  <c r="L18" i="198"/>
  <c r="F18" i="198" s="1"/>
  <c r="L17" i="198"/>
  <c r="E17" i="198" s="1"/>
  <c r="L16" i="198"/>
  <c r="F16" i="198" s="1"/>
  <c r="L15" i="198"/>
  <c r="E15" i="198" s="1"/>
  <c r="L14" i="198"/>
  <c r="F14" i="198" s="1"/>
  <c r="L13" i="198"/>
  <c r="E13" i="198" s="1"/>
  <c r="L12" i="198"/>
  <c r="D12" i="198" s="1"/>
  <c r="L11" i="198"/>
  <c r="F11" i="198" s="1"/>
  <c r="L9" i="198"/>
  <c r="E9" i="198" s="1"/>
  <c r="L8" i="198"/>
  <c r="F8" i="198" s="1"/>
  <c r="Q24" i="190"/>
  <c r="E24" i="190" s="1"/>
  <c r="Q25" i="190"/>
  <c r="E25" i="190" s="1"/>
  <c r="Q26" i="190"/>
  <c r="D26" i="190" s="1"/>
  <c r="Q27" i="190"/>
  <c r="D27" i="190" s="1"/>
  <c r="Q28" i="190"/>
  <c r="F28" i="190" s="1"/>
  <c r="D24" i="190" l="1"/>
  <c r="D11" i="198"/>
  <c r="D19" i="198"/>
  <c r="D38" i="198"/>
  <c r="F49" i="198"/>
  <c r="F70" i="198"/>
  <c r="D35" i="198"/>
  <c r="F9" i="198"/>
  <c r="E72" i="198"/>
  <c r="F47" i="198"/>
  <c r="E50" i="198"/>
  <c r="E53" i="198"/>
  <c r="D49" i="198"/>
  <c r="F25" i="198"/>
  <c r="D30" i="198"/>
  <c r="D15" i="198"/>
  <c r="D8" i="198"/>
  <c r="F15" i="198"/>
  <c r="E41" i="198"/>
  <c r="D55" i="198"/>
  <c r="F74" i="198"/>
  <c r="F35" i="198"/>
  <c r="D13" i="198"/>
  <c r="F38" i="198"/>
  <c r="E39" i="198"/>
  <c r="D74" i="198"/>
  <c r="E8" i="198"/>
  <c r="E16" i="198"/>
  <c r="D42" i="198"/>
  <c r="D57" i="198"/>
  <c r="D77" i="198"/>
  <c r="D25" i="198"/>
  <c r="F13" i="198"/>
  <c r="F30" i="198"/>
  <c r="D9" i="198"/>
  <c r="E18" i="198"/>
  <c r="D32" i="198"/>
  <c r="D47" i="198"/>
  <c r="F57" i="198"/>
  <c r="D70" i="198"/>
  <c r="F77" i="198"/>
  <c r="F27" i="190"/>
  <c r="E27" i="190"/>
  <c r="F25" i="190"/>
  <c r="D25" i="190"/>
  <c r="F24" i="190"/>
  <c r="F17" i="198"/>
  <c r="E33" i="198"/>
  <c r="F40" i="198"/>
  <c r="E46" i="198"/>
  <c r="E56" i="198"/>
  <c r="E65" i="198"/>
  <c r="E12" i="198"/>
  <c r="E24" i="198"/>
  <c r="F52" i="198"/>
  <c r="F12" i="198"/>
  <c r="D18" i="198"/>
  <c r="F24" i="198"/>
  <c r="F33" i="198"/>
  <c r="D41" i="198"/>
  <c r="F46" i="198"/>
  <c r="D53" i="198"/>
  <c r="F56" i="198"/>
  <c r="F65" i="198"/>
  <c r="E26" i="190"/>
  <c r="D16" i="198"/>
  <c r="D39" i="198"/>
  <c r="D50" i="198"/>
  <c r="D72" i="198"/>
  <c r="F26" i="190"/>
  <c r="E28" i="190"/>
  <c r="E11" i="198"/>
  <c r="D14" i="198"/>
  <c r="E19" i="198"/>
  <c r="D26" i="198"/>
  <c r="E32" i="198"/>
  <c r="D37" i="198"/>
  <c r="E42" i="198"/>
  <c r="D48" i="198"/>
  <c r="E55" i="198"/>
  <c r="D67" i="198"/>
  <c r="D76" i="198"/>
  <c r="D28" i="190"/>
  <c r="E14" i="198"/>
  <c r="D17" i="198"/>
  <c r="E26" i="198"/>
  <c r="E37" i="198"/>
  <c r="D40" i="198"/>
  <c r="E48" i="198"/>
  <c r="D52" i="198"/>
  <c r="E67" i="198"/>
  <c r="E76" i="198"/>
  <c r="A10" i="198"/>
  <c r="F88" i="198" l="1"/>
  <c r="A20" i="198"/>
  <c r="E81" i="198"/>
  <c r="D79" i="198"/>
  <c r="D81" i="198"/>
  <c r="F81" i="198"/>
  <c r="D80" i="198"/>
  <c r="E80" i="198"/>
  <c r="E79" i="198"/>
  <c r="F80" i="198"/>
  <c r="F79" i="198"/>
  <c r="F87" i="198"/>
  <c r="A23" i="198" l="1"/>
  <c r="A27" i="198" s="1"/>
  <c r="Q32" i="187"/>
  <c r="Q31" i="187"/>
  <c r="Q30" i="187"/>
  <c r="Q29" i="187"/>
  <c r="Q28" i="187"/>
  <c r="Q27" i="187"/>
  <c r="Q26" i="187"/>
  <c r="Q25" i="187"/>
  <c r="Q24" i="187"/>
  <c r="Q23" i="187"/>
  <c r="Q22" i="187"/>
  <c r="Q21" i="187"/>
  <c r="Q20" i="187"/>
  <c r="Q19" i="187"/>
  <c r="Q18" i="187"/>
  <c r="Q17" i="187"/>
  <c r="Q16" i="187"/>
  <c r="Q15" i="187"/>
  <c r="Q14" i="187"/>
  <c r="Q13" i="187"/>
  <c r="Q12" i="187"/>
  <c r="Q11" i="187"/>
  <c r="Q10" i="187"/>
  <c r="Q9" i="187"/>
  <c r="Q8" i="187"/>
  <c r="H33" i="187"/>
  <c r="H32" i="187"/>
  <c r="H31" i="187"/>
  <c r="H30" i="187"/>
  <c r="H29" i="187"/>
  <c r="H28" i="187"/>
  <c r="H27" i="187"/>
  <c r="H26" i="187"/>
  <c r="H25" i="187"/>
  <c r="H24" i="187"/>
  <c r="H23" i="187"/>
  <c r="H22" i="187"/>
  <c r="H21" i="187"/>
  <c r="H20" i="187"/>
  <c r="H19" i="187"/>
  <c r="H18" i="187"/>
  <c r="H17" i="187"/>
  <c r="H16" i="187"/>
  <c r="H15" i="187"/>
  <c r="H14" i="187"/>
  <c r="H13" i="187"/>
  <c r="H12" i="187"/>
  <c r="H11" i="187"/>
  <c r="H10" i="187"/>
  <c r="H9" i="187"/>
  <c r="B9" i="187"/>
  <c r="B10" i="187" s="1"/>
  <c r="B11" i="187" s="1"/>
  <c r="B12" i="187" s="1"/>
  <c r="B13" i="187" s="1"/>
  <c r="B14" i="187" s="1"/>
  <c r="B15" i="187" s="1"/>
  <c r="B16" i="187" s="1"/>
  <c r="B17" i="187" s="1"/>
  <c r="B18" i="187" s="1"/>
  <c r="B19" i="187" s="1"/>
  <c r="B20" i="187" s="1"/>
  <c r="B21" i="187" s="1"/>
  <c r="B22" i="187" s="1"/>
  <c r="B23" i="187" s="1"/>
  <c r="B24" i="187" s="1"/>
  <c r="B25" i="187" s="1"/>
  <c r="B26" i="187" s="1"/>
  <c r="B27" i="187" s="1"/>
  <c r="B28" i="187" s="1"/>
  <c r="B29" i="187" s="1"/>
  <c r="B30" i="187" s="1"/>
  <c r="B31" i="187" s="1"/>
  <c r="B32" i="187" s="1"/>
  <c r="B33" i="187" s="1"/>
  <c r="K8" i="187" s="1"/>
  <c r="K9" i="187" s="1"/>
  <c r="K10" i="187" s="1"/>
  <c r="K11" i="187" s="1"/>
  <c r="K12" i="187" s="1"/>
  <c r="K13" i="187" s="1"/>
  <c r="K14" i="187" s="1"/>
  <c r="K15" i="187" s="1"/>
  <c r="K16" i="187" s="1"/>
  <c r="K17" i="187" s="1"/>
  <c r="K18" i="187" s="1"/>
  <c r="K19" i="187" s="1"/>
  <c r="K20" i="187" s="1"/>
  <c r="K21" i="187" s="1"/>
  <c r="K22" i="187" s="1"/>
  <c r="K23" i="187" s="1"/>
  <c r="K24" i="187" s="1"/>
  <c r="K25" i="187" s="1"/>
  <c r="K26" i="187" s="1"/>
  <c r="K27" i="187" s="1"/>
  <c r="K28" i="187" s="1"/>
  <c r="K29" i="187" s="1"/>
  <c r="K30" i="187" s="1"/>
  <c r="K31" i="187" s="1"/>
  <c r="K32" i="187" s="1"/>
  <c r="H8" i="187"/>
  <c r="N86" i="65"/>
  <c r="N87" i="65"/>
  <c r="N88" i="65"/>
  <c r="I86" i="65"/>
  <c r="I87" i="65"/>
  <c r="F86" i="65"/>
  <c r="F87" i="65"/>
  <c r="A29" i="198" l="1"/>
  <c r="A31" i="198" s="1"/>
  <c r="A34" i="198" l="1"/>
  <c r="A36" i="198"/>
  <c r="P91" i="65"/>
  <c r="A43" i="198" l="1"/>
  <c r="A45" i="198" s="1"/>
  <c r="A51" i="198" s="1"/>
  <c r="A54" i="198" s="1"/>
  <c r="A58" i="198" l="1"/>
  <c r="A64" i="198" s="1"/>
  <c r="B17" i="204"/>
  <c r="A66" i="198" l="1"/>
  <c r="A69" i="198" s="1"/>
  <c r="A71" i="198" s="1"/>
  <c r="A73" i="198" s="1"/>
  <c r="A75" i="198" s="1"/>
  <c r="Q23" i="190"/>
  <c r="Q22" i="190"/>
  <c r="Q21" i="190"/>
  <c r="Q20" i="190"/>
  <c r="Q19" i="190"/>
  <c r="Q18" i="190"/>
  <c r="Q17" i="190"/>
  <c r="Q16" i="190"/>
  <c r="Q15" i="190"/>
  <c r="Q14" i="190"/>
  <c r="Q13" i="190"/>
  <c r="Q12" i="190"/>
  <c r="Q11" i="190"/>
  <c r="Q10" i="190"/>
  <c r="Q9" i="190"/>
  <c r="D12" i="190" l="1"/>
  <c r="E12" i="190"/>
  <c r="F12" i="190"/>
  <c r="D13" i="190"/>
  <c r="E13" i="190"/>
  <c r="F13" i="190"/>
  <c r="D10" i="190"/>
  <c r="E10" i="190"/>
  <c r="F10" i="190"/>
  <c r="F18" i="190"/>
  <c r="D18" i="190"/>
  <c r="E18" i="190"/>
  <c r="F11" i="190"/>
  <c r="D11" i="190"/>
  <c r="E11" i="190"/>
  <c r="F19" i="190"/>
  <c r="D19" i="190"/>
  <c r="E19" i="190"/>
  <c r="F20" i="190"/>
  <c r="D20" i="190"/>
  <c r="E20" i="190"/>
  <c r="E21" i="190"/>
  <c r="D21" i="190"/>
  <c r="F21" i="190"/>
  <c r="E14" i="190"/>
  <c r="F14" i="190"/>
  <c r="D14" i="190"/>
  <c r="E22" i="190"/>
  <c r="F22" i="190"/>
  <c r="D22" i="190"/>
  <c r="E15" i="190"/>
  <c r="D15" i="190"/>
  <c r="F15" i="190"/>
  <c r="E23" i="190"/>
  <c r="D23" i="190"/>
  <c r="F23" i="190"/>
  <c r="D16" i="190"/>
  <c r="E16" i="190"/>
  <c r="F16" i="190"/>
  <c r="D17" i="190"/>
  <c r="E17" i="190"/>
  <c r="F17" i="190"/>
  <c r="B32" i="171"/>
  <c r="BA34" i="265" l="1"/>
  <c r="E51" i="262" s="1"/>
  <c r="I51" i="262" s="1"/>
  <c r="F50" i="264" l="1"/>
  <c r="D50" i="264"/>
  <c r="H50" i="264"/>
  <c r="A3" i="269"/>
  <c r="A1" i="269"/>
  <c r="C62" i="264" l="1"/>
  <c r="F384" i="206"/>
  <c r="G384" i="206"/>
  <c r="H384" i="206"/>
  <c r="Q384" i="206" s="1"/>
  <c r="I384" i="206"/>
  <c r="F385" i="206"/>
  <c r="G385" i="206"/>
  <c r="H385" i="206"/>
  <c r="I385" i="206"/>
  <c r="F386" i="206"/>
  <c r="G386" i="206"/>
  <c r="H386" i="206"/>
  <c r="I386" i="206"/>
  <c r="F387" i="206"/>
  <c r="G387" i="206"/>
  <c r="H387" i="206"/>
  <c r="I387" i="206"/>
  <c r="F388" i="206"/>
  <c r="G388" i="206"/>
  <c r="H388" i="206"/>
  <c r="I388" i="206"/>
  <c r="F395" i="206"/>
  <c r="G395" i="206"/>
  <c r="H395" i="206"/>
  <c r="I395" i="206"/>
  <c r="F396" i="206"/>
  <c r="G396" i="206"/>
  <c r="H396" i="206"/>
  <c r="I396" i="206"/>
  <c r="F397" i="206"/>
  <c r="G397" i="206"/>
  <c r="H397" i="206"/>
  <c r="I397" i="206"/>
  <c r="T397" i="206" s="1"/>
  <c r="F398" i="206"/>
  <c r="G398" i="206"/>
  <c r="H398" i="206"/>
  <c r="I398" i="206"/>
  <c r="F399" i="206"/>
  <c r="G399" i="206"/>
  <c r="H399" i="206"/>
  <c r="I399" i="206"/>
  <c r="F400" i="206"/>
  <c r="G400" i="206"/>
  <c r="H400" i="206"/>
  <c r="I400" i="206"/>
  <c r="K384" i="206"/>
  <c r="N384" i="206"/>
  <c r="K385" i="206"/>
  <c r="K386" i="206"/>
  <c r="K387" i="206"/>
  <c r="K388" i="206"/>
  <c r="K395" i="206"/>
  <c r="K396" i="206"/>
  <c r="K397" i="206"/>
  <c r="K398" i="206"/>
  <c r="K399" i="206"/>
  <c r="K400" i="206"/>
  <c r="K401" i="206"/>
  <c r="K402" i="206"/>
  <c r="K403" i="206"/>
  <c r="T384" i="206" l="1"/>
  <c r="N398" i="206"/>
  <c r="N399" i="206"/>
  <c r="N400" i="206"/>
  <c r="Q398" i="206"/>
  <c r="T398" i="206"/>
  <c r="N386" i="206"/>
  <c r="Q385" i="206"/>
  <c r="T387" i="206"/>
  <c r="T385" i="206"/>
  <c r="Q387" i="206"/>
  <c r="Q396" i="206"/>
  <c r="T400" i="206"/>
  <c r="Q400" i="206"/>
  <c r="T386" i="206"/>
  <c r="T396" i="206"/>
  <c r="N395" i="206"/>
  <c r="N388" i="206"/>
  <c r="N396" i="206"/>
  <c r="N387" i="206"/>
  <c r="N385" i="206"/>
  <c r="N397" i="206"/>
  <c r="T399" i="206"/>
  <c r="T395" i="206"/>
  <c r="T388" i="206"/>
  <c r="Q399" i="206"/>
  <c r="Q397" i="206"/>
  <c r="Q395" i="206"/>
  <c r="Q388" i="206"/>
  <c r="Q386" i="206"/>
  <c r="O33" i="187" l="1"/>
  <c r="M33" i="187"/>
  <c r="N82" i="65" l="1"/>
  <c r="N83" i="65"/>
  <c r="N84" i="65"/>
  <c r="N85" i="65"/>
  <c r="I83" i="65"/>
  <c r="I84" i="65"/>
  <c r="I85" i="65"/>
  <c r="F82" i="65"/>
  <c r="F83" i="65"/>
  <c r="F84" i="65"/>
  <c r="F85" i="65"/>
  <c r="I1" i="264"/>
  <c r="A3" i="264"/>
  <c r="A1" i="264"/>
  <c r="I1" i="263"/>
  <c r="A3" i="263"/>
  <c r="A1" i="263"/>
  <c r="J1" i="262"/>
  <c r="A3" i="262"/>
  <c r="A1" i="262"/>
  <c r="AZ34" i="265"/>
  <c r="E50" i="262" s="1"/>
  <c r="I50" i="262" s="1"/>
  <c r="AY34" i="265"/>
  <c r="AX34" i="265"/>
  <c r="E49" i="262" s="1"/>
  <c r="I49" i="262" s="1"/>
  <c r="AW34" i="265"/>
  <c r="E48" i="262" s="1"/>
  <c r="I48" i="262" s="1"/>
  <c r="AV34" i="265"/>
  <c r="E47" i="262" s="1"/>
  <c r="I47" i="262" s="1"/>
  <c r="AU34" i="265"/>
  <c r="E46" i="262" s="1"/>
  <c r="I46" i="262" s="1"/>
  <c r="AT34" i="265"/>
  <c r="E45" i="262" s="1"/>
  <c r="I45" i="262" s="1"/>
  <c r="AS34" i="265"/>
  <c r="E44" i="262" s="1"/>
  <c r="I44" i="262" s="1"/>
  <c r="AR34" i="265"/>
  <c r="E43" i="262" s="1"/>
  <c r="I43" i="262" s="1"/>
  <c r="AQ34" i="265"/>
  <c r="E42" i="262" s="1"/>
  <c r="I42" i="262" s="1"/>
  <c r="AP34" i="265"/>
  <c r="E41" i="262" s="1"/>
  <c r="I41" i="262" s="1"/>
  <c r="D40" i="264" s="1"/>
  <c r="AO34" i="265"/>
  <c r="E40" i="262" s="1"/>
  <c r="I40" i="262" s="1"/>
  <c r="AN34" i="265"/>
  <c r="E39" i="262" s="1"/>
  <c r="AM34" i="265"/>
  <c r="E38" i="262" s="1"/>
  <c r="I38" i="262" s="1"/>
  <c r="AL34" i="265"/>
  <c r="E37" i="262" s="1"/>
  <c r="I37" i="262" s="1"/>
  <c r="AK34" i="265"/>
  <c r="E36" i="262" s="1"/>
  <c r="I36" i="262" s="1"/>
  <c r="AJ34" i="265"/>
  <c r="E35" i="262" s="1"/>
  <c r="I35" i="262" s="1"/>
  <c r="AI34" i="265"/>
  <c r="E34" i="262" s="1"/>
  <c r="I34" i="262" s="1"/>
  <c r="AH34" i="265"/>
  <c r="E33" i="262" s="1"/>
  <c r="I33" i="262" s="1"/>
  <c r="AG34" i="265"/>
  <c r="E32" i="262" s="1"/>
  <c r="I32" i="262" s="1"/>
  <c r="AF34" i="265"/>
  <c r="E31" i="262" s="1"/>
  <c r="I31" i="262" s="1"/>
  <c r="AE34" i="265"/>
  <c r="E30" i="262" s="1"/>
  <c r="I30" i="262" s="1"/>
  <c r="AD34" i="265"/>
  <c r="AC34" i="265"/>
  <c r="AB34" i="265"/>
  <c r="AA34" i="265"/>
  <c r="E29" i="262" s="1"/>
  <c r="I29" i="262" s="1"/>
  <c r="Z34" i="265"/>
  <c r="E28" i="262" s="1"/>
  <c r="I28" i="262" s="1"/>
  <c r="Y34" i="265"/>
  <c r="E27" i="262" s="1"/>
  <c r="I27" i="262" s="1"/>
  <c r="X34" i="265"/>
  <c r="E26" i="262" s="1"/>
  <c r="I26" i="262" s="1"/>
  <c r="W34" i="265"/>
  <c r="E25" i="262" s="1"/>
  <c r="I25" i="262" s="1"/>
  <c r="V34" i="265"/>
  <c r="E24" i="262" s="1"/>
  <c r="I24" i="262" s="1"/>
  <c r="U34" i="265"/>
  <c r="E23" i="262" s="1"/>
  <c r="I23" i="262" s="1"/>
  <c r="T34" i="265"/>
  <c r="E22" i="262" s="1"/>
  <c r="I22" i="262" s="1"/>
  <c r="S34" i="265"/>
  <c r="E21" i="262" s="1"/>
  <c r="I21" i="262" s="1"/>
  <c r="R34" i="265"/>
  <c r="Q34" i="265"/>
  <c r="E20" i="262" s="1"/>
  <c r="I20" i="262" s="1"/>
  <c r="P34" i="265"/>
  <c r="E19" i="262" s="1"/>
  <c r="I19" i="262" s="1"/>
  <c r="O34" i="265"/>
  <c r="E18" i="262" s="1"/>
  <c r="I18" i="262" s="1"/>
  <c r="N34" i="265"/>
  <c r="E17" i="262" s="1"/>
  <c r="I17" i="262" s="1"/>
  <c r="M34" i="265"/>
  <c r="E16" i="262" s="1"/>
  <c r="I16" i="262" s="1"/>
  <c r="L34" i="265"/>
  <c r="E15" i="262" s="1"/>
  <c r="I15" i="262" s="1"/>
  <c r="K34" i="265"/>
  <c r="J34" i="265"/>
  <c r="E14" i="262" s="1"/>
  <c r="I14" i="262" s="1"/>
  <c r="I34" i="265"/>
  <c r="E13" i="262" s="1"/>
  <c r="I13" i="262" s="1"/>
  <c r="H34" i="265"/>
  <c r="E12" i="262" s="1"/>
  <c r="I12" i="262" s="1"/>
  <c r="G34" i="265"/>
  <c r="E11" i="262" s="1"/>
  <c r="I11" i="262" s="1"/>
  <c r="F34" i="265"/>
  <c r="E10" i="262" s="1"/>
  <c r="I10" i="262" s="1"/>
  <c r="E34" i="265"/>
  <c r="D34" i="265"/>
  <c r="E9" i="262" s="1"/>
  <c r="I9" i="262" s="1"/>
  <c r="C34" i="265"/>
  <c r="E8" i="262" s="1"/>
  <c r="I8" i="262" s="1"/>
  <c r="A3" i="265"/>
  <c r="A4" i="265" s="1"/>
  <c r="A5" i="265" s="1"/>
  <c r="A6" i="265" s="1"/>
  <c r="A7" i="265" s="1"/>
  <c r="A8" i="265" s="1"/>
  <c r="A9" i="265" s="1"/>
  <c r="A10" i="265" s="1"/>
  <c r="A11" i="265" s="1"/>
  <c r="A12" i="265" s="1"/>
  <c r="A13" i="265" s="1"/>
  <c r="A14" i="265" s="1"/>
  <c r="A15" i="265" s="1"/>
  <c r="A16" i="265" s="1"/>
  <c r="A17" i="265" s="1"/>
  <c r="A18" i="265" s="1"/>
  <c r="A19" i="265" s="1"/>
  <c r="A20" i="265" s="1"/>
  <c r="A21" i="265" s="1"/>
  <c r="A22" i="265" s="1"/>
  <c r="A23" i="265" s="1"/>
  <c r="A24" i="265" s="1"/>
  <c r="A25" i="265" s="1"/>
  <c r="A26" i="265" s="1"/>
  <c r="A27" i="265" s="1"/>
  <c r="A28" i="265" s="1"/>
  <c r="A29" i="265" s="1"/>
  <c r="A30" i="265" s="1"/>
  <c r="A31" i="265" s="1"/>
  <c r="A32" i="265" s="1"/>
  <c r="D1" i="265"/>
  <c r="E1" i="265" s="1"/>
  <c r="F1" i="265" s="1"/>
  <c r="G1" i="265" s="1"/>
  <c r="H1" i="265" s="1"/>
  <c r="I1" i="265" s="1"/>
  <c r="J1" i="265" s="1"/>
  <c r="K1" i="265" s="1"/>
  <c r="L1" i="265" s="1"/>
  <c r="M1" i="265" s="1"/>
  <c r="N1" i="265" s="1"/>
  <c r="O1" i="265" s="1"/>
  <c r="P1" i="265" s="1"/>
  <c r="Q1" i="265" s="1"/>
  <c r="R1" i="265" s="1"/>
  <c r="S1" i="265" s="1"/>
  <c r="T1" i="265" s="1"/>
  <c r="U1" i="265" s="1"/>
  <c r="V1" i="265" s="1"/>
  <c r="W1" i="265" s="1"/>
  <c r="X1" i="265" s="1"/>
  <c r="Y1" i="265" s="1"/>
  <c r="Z1" i="265" s="1"/>
  <c r="AA1" i="265" s="1"/>
  <c r="AB1" i="265" s="1"/>
  <c r="AC1" i="265" s="1"/>
  <c r="AD1" i="265" s="1"/>
  <c r="AE1" i="265" s="1"/>
  <c r="AF1" i="265" s="1"/>
  <c r="AG1" i="265" s="1"/>
  <c r="AH1" i="265" s="1"/>
  <c r="AI1" i="265" s="1"/>
  <c r="AJ1" i="265" s="1"/>
  <c r="AK1" i="265" s="1"/>
  <c r="AL1" i="265" s="1"/>
  <c r="AM1" i="265" s="1"/>
  <c r="AN1" i="265" s="1"/>
  <c r="AO1" i="265" s="1"/>
  <c r="AP1" i="265" s="1"/>
  <c r="AQ1" i="265" s="1"/>
  <c r="AR1" i="265" s="1"/>
  <c r="AS1" i="265" s="1"/>
  <c r="AT1" i="265" s="1"/>
  <c r="AU1" i="265" s="1"/>
  <c r="AV1" i="265" s="1"/>
  <c r="AW1" i="265" s="1"/>
  <c r="AX1" i="265" s="1"/>
  <c r="AY1" i="265" s="1"/>
  <c r="AZ1" i="265" s="1"/>
  <c r="BA1" i="265" s="1"/>
  <c r="BB1" i="265" s="1"/>
  <c r="B7" i="264"/>
  <c r="A7" i="264"/>
  <c r="A8" i="264" s="1"/>
  <c r="A9" i="264" s="1"/>
  <c r="A10" i="264" s="1"/>
  <c r="A11" i="264" s="1"/>
  <c r="A12" i="264" s="1"/>
  <c r="A13" i="264" s="1"/>
  <c r="A14" i="264" s="1"/>
  <c r="A15" i="264" s="1"/>
  <c r="A16" i="264" s="1"/>
  <c r="A17" i="264" s="1"/>
  <c r="A18" i="264" s="1"/>
  <c r="A19" i="264" s="1"/>
  <c r="A20" i="264" s="1"/>
  <c r="A21" i="264" s="1"/>
  <c r="A22" i="264" s="1"/>
  <c r="A23" i="264" s="1"/>
  <c r="A24" i="264" s="1"/>
  <c r="A25" i="264" s="1"/>
  <c r="A26" i="264" s="1"/>
  <c r="A27" i="264" s="1"/>
  <c r="A28" i="264" s="1"/>
  <c r="A29" i="264" s="1"/>
  <c r="A30" i="264" s="1"/>
  <c r="A31" i="264" s="1"/>
  <c r="A32" i="264" s="1"/>
  <c r="A33" i="264" s="1"/>
  <c r="A34" i="264" s="1"/>
  <c r="A35" i="264" s="1"/>
  <c r="A36" i="264" s="1"/>
  <c r="A37" i="264" s="1"/>
  <c r="A38" i="264" s="1"/>
  <c r="A39" i="264" s="1"/>
  <c r="A40" i="264" s="1"/>
  <c r="A41" i="264" s="1"/>
  <c r="A42" i="264" s="1"/>
  <c r="A43" i="264" s="1"/>
  <c r="A44" i="264" s="1"/>
  <c r="A45" i="264" s="1"/>
  <c r="A46" i="264" s="1"/>
  <c r="A47" i="264" s="1"/>
  <c r="A48" i="264" s="1"/>
  <c r="A49" i="264" s="1"/>
  <c r="A50" i="264" s="1"/>
  <c r="A51" i="264" s="1"/>
  <c r="B7" i="263"/>
  <c r="B56" i="262"/>
  <c r="A8" i="262"/>
  <c r="A9" i="262" s="1"/>
  <c r="A10" i="262" s="1"/>
  <c r="A11" i="262" s="1"/>
  <c r="A12" i="262" s="1"/>
  <c r="A13" i="262" s="1"/>
  <c r="A14" i="262" s="1"/>
  <c r="A15" i="262" s="1"/>
  <c r="A16" i="262" s="1"/>
  <c r="A17" i="262" s="1"/>
  <c r="A18" i="262" s="1"/>
  <c r="A19" i="262" s="1"/>
  <c r="A20" i="262" s="1"/>
  <c r="A21" i="262" s="1"/>
  <c r="A22" i="262" s="1"/>
  <c r="A23" i="262" s="1"/>
  <c r="A24" i="262" s="1"/>
  <c r="A25" i="262" s="1"/>
  <c r="A26" i="262" s="1"/>
  <c r="A27" i="262" s="1"/>
  <c r="A28" i="262" s="1"/>
  <c r="A29" i="262" s="1"/>
  <c r="A30" i="262" s="1"/>
  <c r="A31" i="262" s="1"/>
  <c r="A32" i="262" s="1"/>
  <c r="A33" i="262" s="1"/>
  <c r="A34" i="262" s="1"/>
  <c r="A35" i="262" s="1"/>
  <c r="A36" i="262" s="1"/>
  <c r="A37" i="262" s="1"/>
  <c r="A38" i="262" s="1"/>
  <c r="A39" i="262" s="1"/>
  <c r="A40" i="262" s="1"/>
  <c r="A41" i="262" s="1"/>
  <c r="A42" i="262" s="1"/>
  <c r="A43" i="262" s="1"/>
  <c r="A44" i="262" s="1"/>
  <c r="A45" i="262" s="1"/>
  <c r="A46" i="262" s="1"/>
  <c r="A47" i="262" s="1"/>
  <c r="A48" i="262" s="1"/>
  <c r="A49" i="262" s="1"/>
  <c r="A50" i="262" s="1"/>
  <c r="A51" i="262" s="1"/>
  <c r="A52" i="262" s="1"/>
  <c r="F19" i="264" l="1"/>
  <c r="D19" i="264"/>
  <c r="H19" i="264"/>
  <c r="F31" i="264"/>
  <c r="D31" i="264"/>
  <c r="H31" i="264"/>
  <c r="F47" i="264"/>
  <c r="D47" i="264"/>
  <c r="H47" i="264"/>
  <c r="H13" i="264"/>
  <c r="F13" i="264"/>
  <c r="D13" i="264"/>
  <c r="H27" i="264"/>
  <c r="F27" i="264"/>
  <c r="D27" i="264"/>
  <c r="H32" i="264"/>
  <c r="F32" i="264"/>
  <c r="D32" i="264"/>
  <c r="H48" i="264"/>
  <c r="F48" i="264"/>
  <c r="D48" i="264"/>
  <c r="H20" i="264"/>
  <c r="F20" i="264"/>
  <c r="D20" i="264"/>
  <c r="H33" i="264"/>
  <c r="F33" i="264"/>
  <c r="D33" i="264"/>
  <c r="H41" i="264"/>
  <c r="F41" i="264"/>
  <c r="D41" i="264"/>
  <c r="H9" i="264"/>
  <c r="F9" i="264"/>
  <c r="D9" i="264"/>
  <c r="H16" i="264"/>
  <c r="F16" i="264"/>
  <c r="D16" i="264"/>
  <c r="H23" i="264"/>
  <c r="F23" i="264"/>
  <c r="D23" i="264"/>
  <c r="H36" i="264"/>
  <c r="F36" i="264"/>
  <c r="D36" i="264"/>
  <c r="H44" i="264"/>
  <c r="D44" i="264"/>
  <c r="D14" i="264"/>
  <c r="H14" i="264"/>
  <c r="F14" i="264"/>
  <c r="D42" i="264"/>
  <c r="H42" i="264"/>
  <c r="F42" i="264"/>
  <c r="F22" i="264"/>
  <c r="D22" i="264"/>
  <c r="F43" i="264"/>
  <c r="D43" i="264"/>
  <c r="H43" i="264"/>
  <c r="H17" i="264"/>
  <c r="F17" i="264"/>
  <c r="D17" i="264"/>
  <c r="H45" i="264"/>
  <c r="F45" i="264"/>
  <c r="D45" i="264"/>
  <c r="F12" i="264"/>
  <c r="D12" i="264"/>
  <c r="H12" i="264"/>
  <c r="F26" i="264"/>
  <c r="D26" i="264"/>
  <c r="H26" i="264"/>
  <c r="F39" i="264"/>
  <c r="D39" i="264"/>
  <c r="H39" i="264"/>
  <c r="H28" i="264"/>
  <c r="F28" i="264"/>
  <c r="D28" i="264"/>
  <c r="D8" i="264"/>
  <c r="H8" i="264"/>
  <c r="F8" i="264"/>
  <c r="D21" i="264"/>
  <c r="H21" i="264"/>
  <c r="F21" i="264"/>
  <c r="D34" i="264"/>
  <c r="F34" i="264"/>
  <c r="H34" i="264"/>
  <c r="D49" i="264"/>
  <c r="H49" i="264"/>
  <c r="F49" i="264"/>
  <c r="F15" i="264"/>
  <c r="D15" i="264"/>
  <c r="H15" i="264"/>
  <c r="F35" i="264"/>
  <c r="D35" i="264"/>
  <c r="H35" i="264"/>
  <c r="H10" i="264"/>
  <c r="F10" i="264"/>
  <c r="D10" i="264"/>
  <c r="H24" i="264"/>
  <c r="F24" i="264"/>
  <c r="D24" i="264"/>
  <c r="H29" i="264"/>
  <c r="F29" i="264"/>
  <c r="D29" i="264"/>
  <c r="H37" i="264"/>
  <c r="F37" i="264"/>
  <c r="D37" i="264"/>
  <c r="D11" i="264"/>
  <c r="H11" i="264"/>
  <c r="F11" i="264"/>
  <c r="D18" i="264"/>
  <c r="H18" i="264"/>
  <c r="F18" i="264"/>
  <c r="D25" i="264"/>
  <c r="H25" i="264"/>
  <c r="F25" i="264"/>
  <c r="D30" i="264"/>
  <c r="H30" i="264"/>
  <c r="F30" i="264"/>
  <c r="D46" i="264"/>
  <c r="H46" i="264"/>
  <c r="F46" i="264"/>
  <c r="I39" i="262"/>
  <c r="I54" i="262" s="1"/>
  <c r="D7" i="264"/>
  <c r="F7" i="264"/>
  <c r="H7" i="264"/>
  <c r="D38" i="264" l="1"/>
  <c r="H38" i="264"/>
  <c r="F38" i="264"/>
  <c r="G1" i="198"/>
  <c r="E26" i="224" l="1"/>
  <c r="D99" i="109"/>
  <c r="C99" i="109"/>
  <c r="C37" i="109" l="1"/>
  <c r="D37" i="109"/>
  <c r="I37" i="109"/>
  <c r="J37" i="109" s="1"/>
  <c r="F37" i="109"/>
  <c r="G37" i="109" s="1"/>
  <c r="L37" i="109"/>
  <c r="N37" i="109"/>
  <c r="P37" i="109"/>
  <c r="R37" i="109"/>
  <c r="C38" i="109"/>
  <c r="D38" i="109"/>
  <c r="I38" i="109"/>
  <c r="J38" i="109" s="1"/>
  <c r="F38" i="109"/>
  <c r="G38" i="109" s="1"/>
  <c r="L38" i="109"/>
  <c r="N38" i="109"/>
  <c r="P38" i="109"/>
  <c r="R38" i="109"/>
  <c r="N34" i="182"/>
  <c r="C2" i="182" a="1"/>
  <c r="E2" i="182" s="1"/>
  <c r="AO2" i="182" l="1"/>
  <c r="AG2" i="182"/>
  <c r="Y2" i="182"/>
  <c r="Q2" i="182"/>
  <c r="I2" i="182"/>
  <c r="AJ2" i="182"/>
  <c r="AB2" i="182"/>
  <c r="T2" i="182"/>
  <c r="L2" i="182"/>
  <c r="D2" i="182"/>
  <c r="AI2" i="182"/>
  <c r="AA2" i="182"/>
  <c r="S2" i="182"/>
  <c r="K2" i="182"/>
  <c r="C2" i="182"/>
  <c r="AH2" i="182"/>
  <c r="Z2" i="182"/>
  <c r="R2" i="182"/>
  <c r="J2" i="182"/>
  <c r="AN2" i="182"/>
  <c r="AF2" i="182"/>
  <c r="X2" i="182"/>
  <c r="P2" i="182"/>
  <c r="H2" i="182"/>
  <c r="AM2" i="182"/>
  <c r="AE2" i="182"/>
  <c r="W2" i="182"/>
  <c r="O2" i="182"/>
  <c r="G2" i="182"/>
  <c r="AL2" i="182"/>
  <c r="AD2" i="182"/>
  <c r="V2" i="182"/>
  <c r="N2" i="182"/>
  <c r="F2" i="182"/>
  <c r="AK2" i="182"/>
  <c r="AC2" i="182"/>
  <c r="U2" i="182"/>
  <c r="M2" i="182"/>
  <c r="B33" i="171" l="1"/>
  <c r="R43" i="109"/>
  <c r="P43" i="109"/>
  <c r="N43" i="109"/>
  <c r="L43" i="109"/>
  <c r="F43" i="109"/>
  <c r="G43" i="109" s="1"/>
  <c r="I43" i="109"/>
  <c r="J43" i="109" s="1"/>
  <c r="D43" i="109"/>
  <c r="C43" i="109"/>
  <c r="R42" i="109"/>
  <c r="P42" i="109"/>
  <c r="N42" i="109"/>
  <c r="L42" i="109"/>
  <c r="F42" i="109"/>
  <c r="G42" i="109" s="1"/>
  <c r="I42" i="109"/>
  <c r="J42" i="109" s="1"/>
  <c r="D42" i="109"/>
  <c r="C42" i="109"/>
  <c r="R41" i="109"/>
  <c r="P41" i="109"/>
  <c r="N41" i="109"/>
  <c r="L41" i="109"/>
  <c r="F41" i="109"/>
  <c r="G41" i="109" s="1"/>
  <c r="I41" i="109"/>
  <c r="J41" i="109" s="1"/>
  <c r="D41" i="109"/>
  <c r="C41" i="109"/>
  <c r="R40" i="109"/>
  <c r="P40" i="109"/>
  <c r="N40" i="109"/>
  <c r="L40" i="109"/>
  <c r="F40" i="109"/>
  <c r="G40" i="109" s="1"/>
  <c r="I40" i="109"/>
  <c r="J40" i="109" s="1"/>
  <c r="D40" i="109"/>
  <c r="C40" i="109"/>
  <c r="R39" i="109"/>
  <c r="P39" i="109"/>
  <c r="N39" i="109"/>
  <c r="L39" i="109"/>
  <c r="F39" i="109"/>
  <c r="G39" i="109" s="1"/>
  <c r="I39" i="109"/>
  <c r="J39" i="109" s="1"/>
  <c r="D39" i="109"/>
  <c r="C39" i="109"/>
  <c r="R36" i="109"/>
  <c r="P36" i="109"/>
  <c r="N36" i="109"/>
  <c r="L36" i="109"/>
  <c r="F36" i="109"/>
  <c r="G36" i="109" s="1"/>
  <c r="I36" i="109"/>
  <c r="J36" i="109" s="1"/>
  <c r="D36" i="109"/>
  <c r="C36" i="109"/>
  <c r="R35" i="109"/>
  <c r="P35" i="109"/>
  <c r="N35" i="109"/>
  <c r="L35" i="109"/>
  <c r="F35" i="109"/>
  <c r="G35" i="109" s="1"/>
  <c r="I35" i="109"/>
  <c r="J35" i="109" s="1"/>
  <c r="D35" i="109"/>
  <c r="C35" i="109"/>
  <c r="R34" i="109"/>
  <c r="P34" i="109"/>
  <c r="N34" i="109"/>
  <c r="L34" i="109"/>
  <c r="F34" i="109"/>
  <c r="G34" i="109" s="1"/>
  <c r="I34" i="109"/>
  <c r="J34" i="109" s="1"/>
  <c r="D34" i="109"/>
  <c r="C34" i="109"/>
  <c r="R33" i="109"/>
  <c r="P33" i="109"/>
  <c r="N33" i="109"/>
  <c r="L33" i="109"/>
  <c r="F33" i="109"/>
  <c r="G33" i="109" s="1"/>
  <c r="I33" i="109"/>
  <c r="J33" i="109" s="1"/>
  <c r="D33" i="109"/>
  <c r="C33" i="109"/>
  <c r="R32" i="109"/>
  <c r="P32" i="109"/>
  <c r="N32" i="109"/>
  <c r="L32" i="109"/>
  <c r="F32" i="109"/>
  <c r="G32" i="109" s="1"/>
  <c r="I32" i="109"/>
  <c r="J32" i="109" s="1"/>
  <c r="D32" i="109"/>
  <c r="C32" i="109"/>
  <c r="R31" i="109"/>
  <c r="P31" i="109"/>
  <c r="N31" i="109"/>
  <c r="L31" i="109"/>
  <c r="F31" i="109"/>
  <c r="G31" i="109" s="1"/>
  <c r="I31" i="109"/>
  <c r="J31" i="109" s="1"/>
  <c r="D31" i="109"/>
  <c r="C31" i="109"/>
  <c r="R30" i="109"/>
  <c r="P30" i="109"/>
  <c r="N30" i="109"/>
  <c r="L30" i="109"/>
  <c r="F30" i="109"/>
  <c r="G30" i="109" s="1"/>
  <c r="I30" i="109"/>
  <c r="J30" i="109" s="1"/>
  <c r="D30" i="109"/>
  <c r="C30" i="109"/>
  <c r="R29" i="109"/>
  <c r="P29" i="109"/>
  <c r="N29" i="109"/>
  <c r="L29" i="109"/>
  <c r="F29" i="109"/>
  <c r="G29" i="109" s="1"/>
  <c r="I29" i="109"/>
  <c r="J29" i="109" s="1"/>
  <c r="D29" i="109"/>
  <c r="C29" i="109"/>
  <c r="R28" i="109"/>
  <c r="P28" i="109"/>
  <c r="N28" i="109"/>
  <c r="L28" i="109"/>
  <c r="F28" i="109"/>
  <c r="G28" i="109" s="1"/>
  <c r="I28" i="109"/>
  <c r="J28" i="109" s="1"/>
  <c r="D28" i="109"/>
  <c r="C28" i="109"/>
  <c r="R27" i="109"/>
  <c r="P27" i="109"/>
  <c r="N27" i="109"/>
  <c r="L27" i="109"/>
  <c r="F27" i="109"/>
  <c r="G27" i="109" s="1"/>
  <c r="I27" i="109"/>
  <c r="J27" i="109" s="1"/>
  <c r="D27" i="109"/>
  <c r="C27" i="109"/>
  <c r="R26" i="109"/>
  <c r="P26" i="109"/>
  <c r="N26" i="109"/>
  <c r="L26" i="109"/>
  <c r="F26" i="109"/>
  <c r="G26" i="109" s="1"/>
  <c r="I26" i="109"/>
  <c r="J26" i="109" s="1"/>
  <c r="D26" i="109"/>
  <c r="C26" i="109"/>
  <c r="R25" i="109"/>
  <c r="P25" i="109"/>
  <c r="N25" i="109"/>
  <c r="L25" i="109"/>
  <c r="F25" i="109"/>
  <c r="G25" i="109" s="1"/>
  <c r="I25" i="109"/>
  <c r="J25" i="109" s="1"/>
  <c r="D25" i="109"/>
  <c r="C25" i="109"/>
  <c r="R24" i="109"/>
  <c r="P24" i="109"/>
  <c r="N24" i="109"/>
  <c r="L24" i="109"/>
  <c r="F24" i="109"/>
  <c r="G24" i="109" s="1"/>
  <c r="I24" i="109"/>
  <c r="J24" i="109" s="1"/>
  <c r="D24" i="109"/>
  <c r="C24" i="109"/>
  <c r="R23" i="109"/>
  <c r="P23" i="109"/>
  <c r="N23" i="109"/>
  <c r="L23" i="109"/>
  <c r="F23" i="109"/>
  <c r="G23" i="109" s="1"/>
  <c r="I23" i="109"/>
  <c r="J23" i="109" s="1"/>
  <c r="D23" i="109"/>
  <c r="C23" i="109"/>
  <c r="R22" i="109"/>
  <c r="P22" i="109"/>
  <c r="N22" i="109"/>
  <c r="L22" i="109"/>
  <c r="F22" i="109"/>
  <c r="G22" i="109" s="1"/>
  <c r="I22" i="109"/>
  <c r="J22" i="109" s="1"/>
  <c r="D22" i="109"/>
  <c r="C22" i="109"/>
  <c r="R21" i="109"/>
  <c r="P21" i="109"/>
  <c r="N21" i="109"/>
  <c r="L21" i="109"/>
  <c r="F21" i="109"/>
  <c r="G21" i="109" s="1"/>
  <c r="I21" i="109"/>
  <c r="J21" i="109" s="1"/>
  <c r="D21" i="109"/>
  <c r="C21" i="109"/>
  <c r="R20" i="109"/>
  <c r="P20" i="109"/>
  <c r="N20" i="109"/>
  <c r="L20" i="109"/>
  <c r="F20" i="109"/>
  <c r="G20" i="109" s="1"/>
  <c r="I20" i="109"/>
  <c r="J20" i="109" s="1"/>
  <c r="D20" i="109"/>
  <c r="C20" i="109"/>
  <c r="R19" i="109"/>
  <c r="P19" i="109"/>
  <c r="N19" i="109"/>
  <c r="L19" i="109"/>
  <c r="F19" i="109"/>
  <c r="G19" i="109" s="1"/>
  <c r="I19" i="109"/>
  <c r="J19" i="109" s="1"/>
  <c r="D19" i="109"/>
  <c r="C19" i="109"/>
  <c r="R18" i="109"/>
  <c r="P18" i="109"/>
  <c r="N18" i="109"/>
  <c r="L18" i="109"/>
  <c r="F18" i="109"/>
  <c r="G18" i="109" s="1"/>
  <c r="I18" i="109"/>
  <c r="J18" i="109" s="1"/>
  <c r="D18" i="109"/>
  <c r="C18" i="109"/>
  <c r="R17" i="109"/>
  <c r="P17" i="109"/>
  <c r="N17" i="109"/>
  <c r="L17" i="109"/>
  <c r="F17" i="109"/>
  <c r="G17" i="109" s="1"/>
  <c r="I17" i="109"/>
  <c r="J17" i="109" s="1"/>
  <c r="D17" i="109"/>
  <c r="C17" i="109"/>
  <c r="R16" i="109"/>
  <c r="P16" i="109"/>
  <c r="N16" i="109"/>
  <c r="L16" i="109"/>
  <c r="F16" i="109"/>
  <c r="G16" i="109" s="1"/>
  <c r="I16" i="109"/>
  <c r="J16" i="109" s="1"/>
  <c r="D16" i="109"/>
  <c r="C16" i="109"/>
  <c r="R15" i="109"/>
  <c r="P15" i="109"/>
  <c r="N15" i="109"/>
  <c r="L15" i="109"/>
  <c r="F15" i="109"/>
  <c r="D6" i="204" s="1"/>
  <c r="D17" i="204" s="1"/>
  <c r="I15" i="109"/>
  <c r="D15" i="109"/>
  <c r="C15" i="109"/>
  <c r="R14" i="109"/>
  <c r="P14" i="109"/>
  <c r="N14" i="109"/>
  <c r="L14" i="109"/>
  <c r="F14" i="109"/>
  <c r="G14" i="109" s="1"/>
  <c r="I14" i="109"/>
  <c r="J14" i="109" s="1"/>
  <c r="D14" i="109"/>
  <c r="C14" i="109"/>
  <c r="R13" i="109"/>
  <c r="P13" i="109"/>
  <c r="N13" i="109"/>
  <c r="L13" i="109"/>
  <c r="F13" i="109"/>
  <c r="G13" i="109" s="1"/>
  <c r="I13" i="109"/>
  <c r="J13" i="109" s="1"/>
  <c r="D13" i="109"/>
  <c r="C13" i="109"/>
  <c r="R12" i="109"/>
  <c r="P12" i="109"/>
  <c r="N12" i="109"/>
  <c r="L12" i="109"/>
  <c r="F12" i="109"/>
  <c r="G12" i="109" s="1"/>
  <c r="I12" i="109"/>
  <c r="J12" i="109" s="1"/>
  <c r="D12" i="109"/>
  <c r="C12" i="109"/>
  <c r="R11" i="109"/>
  <c r="P11" i="109"/>
  <c r="L6" i="204" s="1"/>
  <c r="N11" i="109"/>
  <c r="L11" i="109"/>
  <c r="F11" i="109"/>
  <c r="G11" i="109" s="1"/>
  <c r="I11" i="109"/>
  <c r="J11" i="109" s="1"/>
  <c r="D11" i="109"/>
  <c r="C11" i="109"/>
  <c r="R10" i="109"/>
  <c r="P10" i="109"/>
  <c r="N10" i="109"/>
  <c r="L10" i="109"/>
  <c r="F10" i="109"/>
  <c r="G10" i="109" s="1"/>
  <c r="I10" i="109"/>
  <c r="J10" i="109" s="1"/>
  <c r="D10" i="109"/>
  <c r="C10" i="109"/>
  <c r="R9" i="109"/>
  <c r="P9" i="109"/>
  <c r="N9" i="109"/>
  <c r="L9" i="109"/>
  <c r="F9" i="109"/>
  <c r="G9" i="109" s="1"/>
  <c r="I9" i="109"/>
  <c r="J9" i="109" s="1"/>
  <c r="D9" i="109"/>
  <c r="C9" i="109"/>
  <c r="L52" i="109" l="1"/>
  <c r="H6" i="204"/>
  <c r="H17" i="204" s="1"/>
  <c r="N52" i="109"/>
  <c r="O52" i="109" s="1"/>
  <c r="J6" i="204"/>
  <c r="J17" i="204" s="1"/>
  <c r="L17" i="204"/>
  <c r="G15" i="109"/>
  <c r="J15" i="109"/>
  <c r="F6" i="204"/>
  <c r="F17" i="204" s="1"/>
  <c r="AO34" i="182"/>
  <c r="K406" i="206" l="1"/>
  <c r="K405" i="206"/>
  <c r="K404" i="206"/>
  <c r="K383" i="206"/>
  <c r="K382" i="206"/>
  <c r="K381" i="206"/>
  <c r="K380" i="206"/>
  <c r="K379" i="206"/>
  <c r="K378" i="206"/>
  <c r="K377" i="206"/>
  <c r="K376" i="206"/>
  <c r="K375" i="206"/>
  <c r="K374" i="206"/>
  <c r="K373" i="206"/>
  <c r="K372" i="206"/>
  <c r="K371" i="206"/>
  <c r="K370" i="206"/>
  <c r="K369" i="206"/>
  <c r="K368" i="206"/>
  <c r="K367" i="206"/>
  <c r="K366" i="206"/>
  <c r="K365" i="206"/>
  <c r="K364" i="206"/>
  <c r="K363" i="206"/>
  <c r="K362" i="206"/>
  <c r="K361" i="206"/>
  <c r="K360" i="206"/>
  <c r="K359" i="206"/>
  <c r="K358" i="206"/>
  <c r="K357" i="206"/>
  <c r="K356" i="206"/>
  <c r="K355" i="206"/>
  <c r="K354" i="206"/>
  <c r="K353" i="206"/>
  <c r="K352" i="206"/>
  <c r="K351" i="206"/>
  <c r="K350" i="206"/>
  <c r="K349" i="206"/>
  <c r="K348" i="206"/>
  <c r="K347" i="206"/>
  <c r="K346" i="206"/>
  <c r="K345" i="206"/>
  <c r="K344" i="206"/>
  <c r="K343" i="206"/>
  <c r="K342" i="206"/>
  <c r="K341" i="206"/>
  <c r="K340" i="206"/>
  <c r="K339" i="206"/>
  <c r="K338" i="206"/>
  <c r="K337" i="206"/>
  <c r="K336" i="206"/>
  <c r="K335" i="206"/>
  <c r="K334" i="206"/>
  <c r="K333" i="206"/>
  <c r="K332" i="206"/>
  <c r="K331" i="206"/>
  <c r="K330" i="206"/>
  <c r="K329" i="206"/>
  <c r="K328" i="206"/>
  <c r="K327" i="206"/>
  <c r="K326" i="206"/>
  <c r="K325" i="206"/>
  <c r="K324" i="206"/>
  <c r="K323" i="206"/>
  <c r="K322" i="206"/>
  <c r="K321" i="206"/>
  <c r="K320" i="206"/>
  <c r="K319" i="206"/>
  <c r="K318" i="206"/>
  <c r="K317" i="206"/>
  <c r="K316" i="206"/>
  <c r="K315" i="206"/>
  <c r="K314" i="206"/>
  <c r="K313" i="206"/>
  <c r="K312" i="206"/>
  <c r="K311" i="206"/>
  <c r="K310" i="206"/>
  <c r="K309" i="206"/>
  <c r="K308" i="206"/>
  <c r="K307" i="206"/>
  <c r="K306" i="206"/>
  <c r="K305" i="206"/>
  <c r="K304" i="206"/>
  <c r="K303" i="206"/>
  <c r="K302" i="206"/>
  <c r="K301" i="206"/>
  <c r="K300" i="206"/>
  <c r="K299" i="206"/>
  <c r="K298" i="206"/>
  <c r="K297" i="206"/>
  <c r="K296" i="206"/>
  <c r="K295" i="206"/>
  <c r="K294" i="206"/>
  <c r="K293" i="206"/>
  <c r="K292" i="206"/>
  <c r="K291" i="206"/>
  <c r="K290" i="206"/>
  <c r="K289" i="206"/>
  <c r="K288" i="206"/>
  <c r="K287" i="206"/>
  <c r="K286" i="206"/>
  <c r="K285" i="206"/>
  <c r="K284" i="206"/>
  <c r="K283" i="206"/>
  <c r="K282" i="206"/>
  <c r="K281" i="206"/>
  <c r="K280" i="206"/>
  <c r="K279" i="206"/>
  <c r="K278" i="206"/>
  <c r="K277" i="206"/>
  <c r="K276" i="206"/>
  <c r="K275" i="206"/>
  <c r="K274" i="206"/>
  <c r="K273" i="206"/>
  <c r="K272" i="206"/>
  <c r="K271" i="206"/>
  <c r="K270" i="206"/>
  <c r="K269" i="206"/>
  <c r="K268" i="206"/>
  <c r="K267" i="206"/>
  <c r="K266" i="206"/>
  <c r="K265" i="206"/>
  <c r="K264" i="206"/>
  <c r="K263" i="206"/>
  <c r="K262" i="206"/>
  <c r="K261" i="206"/>
  <c r="K260" i="206"/>
  <c r="K259" i="206"/>
  <c r="K258" i="206"/>
  <c r="K257" i="206"/>
  <c r="K256" i="206"/>
  <c r="K255" i="206"/>
  <c r="K254" i="206"/>
  <c r="K253" i="206"/>
  <c r="K252" i="206"/>
  <c r="K251" i="206"/>
  <c r="K250" i="206"/>
  <c r="K249" i="206"/>
  <c r="K248" i="206"/>
  <c r="K247" i="206"/>
  <c r="K246" i="206"/>
  <c r="K245" i="206"/>
  <c r="K244" i="206"/>
  <c r="K243" i="206"/>
  <c r="K242" i="206"/>
  <c r="K241" i="206"/>
  <c r="K240" i="206"/>
  <c r="K239" i="206"/>
  <c r="K238" i="206"/>
  <c r="K237" i="206"/>
  <c r="K236" i="206"/>
  <c r="K235" i="206"/>
  <c r="K234" i="206"/>
  <c r="K233" i="206"/>
  <c r="K232" i="206"/>
  <c r="K231" i="206"/>
  <c r="K230" i="206"/>
  <c r="K229" i="206"/>
  <c r="K228" i="206"/>
  <c r="K227" i="206"/>
  <c r="K226" i="206"/>
  <c r="K225" i="206"/>
  <c r="K224" i="206"/>
  <c r="K223" i="206"/>
  <c r="K222" i="206"/>
  <c r="K221" i="206"/>
  <c r="K220" i="206"/>
  <c r="K219" i="206"/>
  <c r="K218" i="206"/>
  <c r="K217" i="206"/>
  <c r="K216" i="206"/>
  <c r="K215" i="206"/>
  <c r="K214" i="206"/>
  <c r="K213" i="206"/>
  <c r="K212" i="206"/>
  <c r="K211" i="206"/>
  <c r="K210" i="206"/>
  <c r="K209" i="206"/>
  <c r="K208" i="206"/>
  <c r="K207" i="206"/>
  <c r="K206" i="206"/>
  <c r="K205" i="206"/>
  <c r="K204" i="206"/>
  <c r="K203" i="206"/>
  <c r="K202" i="206"/>
  <c r="K201" i="206"/>
  <c r="K200" i="206"/>
  <c r="K199" i="206"/>
  <c r="K198" i="206"/>
  <c r="K197" i="206"/>
  <c r="K196" i="206"/>
  <c r="K195" i="206"/>
  <c r="K194" i="206"/>
  <c r="K193" i="206"/>
  <c r="K192" i="206"/>
  <c r="K191" i="206"/>
  <c r="K190" i="206"/>
  <c r="K189" i="206"/>
  <c r="K188" i="206"/>
  <c r="K187" i="206"/>
  <c r="K186" i="206"/>
  <c r="K185" i="206"/>
  <c r="K184" i="206"/>
  <c r="K183" i="206"/>
  <c r="K182" i="206"/>
  <c r="K181" i="206"/>
  <c r="K180" i="206"/>
  <c r="K179" i="206"/>
  <c r="K178" i="206"/>
  <c r="K177" i="206"/>
  <c r="K176" i="206"/>
  <c r="K175" i="206"/>
  <c r="K174" i="206"/>
  <c r="K173" i="206"/>
  <c r="K172" i="206"/>
  <c r="K171" i="206"/>
  <c r="K170" i="206"/>
  <c r="K169" i="206"/>
  <c r="K168" i="206"/>
  <c r="K167" i="206"/>
  <c r="K166" i="206"/>
  <c r="K165" i="206"/>
  <c r="K164" i="206"/>
  <c r="K163" i="206"/>
  <c r="K162" i="206"/>
  <c r="K161" i="206"/>
  <c r="K160" i="206"/>
  <c r="K159" i="206"/>
  <c r="K158" i="206"/>
  <c r="K157" i="206"/>
  <c r="K156" i="206"/>
  <c r="K155" i="206"/>
  <c r="K154" i="206"/>
  <c r="K153" i="206"/>
  <c r="K152" i="206"/>
  <c r="K151" i="206"/>
  <c r="K150" i="206"/>
  <c r="K149" i="206"/>
  <c r="K148" i="206"/>
  <c r="K147" i="206"/>
  <c r="K146" i="206"/>
  <c r="K145" i="206"/>
  <c r="K144" i="206"/>
  <c r="K143" i="206"/>
  <c r="K142" i="206"/>
  <c r="K141" i="206"/>
  <c r="K140" i="206"/>
  <c r="K139" i="206"/>
  <c r="K138" i="206"/>
  <c r="K137" i="206"/>
  <c r="K136" i="206"/>
  <c r="K135" i="206"/>
  <c r="K134" i="206"/>
  <c r="K133" i="206"/>
  <c r="K132" i="206"/>
  <c r="K131" i="206"/>
  <c r="K130" i="206"/>
  <c r="K129" i="206"/>
  <c r="K128" i="206"/>
  <c r="K127" i="206"/>
  <c r="K126" i="206"/>
  <c r="K125" i="206"/>
  <c r="K124" i="206"/>
  <c r="K123" i="206"/>
  <c r="K122" i="206"/>
  <c r="K121" i="206"/>
  <c r="K120" i="206"/>
  <c r="K119" i="206"/>
  <c r="K118" i="206"/>
  <c r="K117" i="206"/>
  <c r="K116" i="206"/>
  <c r="K115" i="206"/>
  <c r="K114" i="206"/>
  <c r="K113" i="206"/>
  <c r="K112" i="206"/>
  <c r="K111" i="206"/>
  <c r="K110" i="206"/>
  <c r="K109" i="206"/>
  <c r="K108" i="206"/>
  <c r="K107" i="206"/>
  <c r="K106" i="206"/>
  <c r="K105" i="206"/>
  <c r="K104" i="206"/>
  <c r="K103" i="206"/>
  <c r="K102" i="206"/>
  <c r="K101" i="206"/>
  <c r="K100" i="206"/>
  <c r="K99" i="206"/>
  <c r="K98" i="206"/>
  <c r="K97" i="206"/>
  <c r="K96" i="206"/>
  <c r="K95" i="206"/>
  <c r="K94" i="206"/>
  <c r="K93" i="206"/>
  <c r="K92" i="206"/>
  <c r="K91" i="206"/>
  <c r="K90" i="206"/>
  <c r="K89" i="206"/>
  <c r="K88" i="206"/>
  <c r="K87" i="206"/>
  <c r="K86" i="206"/>
  <c r="K85" i="206"/>
  <c r="K84" i="206"/>
  <c r="K83" i="206"/>
  <c r="K82" i="206"/>
  <c r="K81" i="206"/>
  <c r="K80" i="206"/>
  <c r="K79" i="206"/>
  <c r="K78" i="206"/>
  <c r="K77" i="206"/>
  <c r="K76" i="206"/>
  <c r="K75" i="206"/>
  <c r="K74" i="206"/>
  <c r="K73" i="206"/>
  <c r="K72" i="206"/>
  <c r="K71" i="206"/>
  <c r="K70" i="206"/>
  <c r="K69" i="206"/>
  <c r="K68" i="206"/>
  <c r="K67" i="206"/>
  <c r="K66" i="206"/>
  <c r="K65" i="206"/>
  <c r="K64" i="206"/>
  <c r="K63" i="206"/>
  <c r="K62" i="206"/>
  <c r="K61" i="206"/>
  <c r="K60" i="206"/>
  <c r="K59" i="206"/>
  <c r="K58" i="206"/>
  <c r="K57" i="206"/>
  <c r="K56" i="206"/>
  <c r="K55" i="206"/>
  <c r="K54" i="206"/>
  <c r="K53" i="206"/>
  <c r="K52" i="206"/>
  <c r="K51" i="206"/>
  <c r="K50" i="206"/>
  <c r="K49" i="206"/>
  <c r="K48" i="206"/>
  <c r="K47" i="206"/>
  <c r="K46" i="206"/>
  <c r="K45" i="206"/>
  <c r="K44" i="206"/>
  <c r="K43" i="206"/>
  <c r="K42" i="206"/>
  <c r="K41" i="206"/>
  <c r="K40" i="206"/>
  <c r="K39" i="206"/>
  <c r="K38" i="206"/>
  <c r="K37" i="206"/>
  <c r="K36" i="206"/>
  <c r="K35" i="206"/>
  <c r="K34" i="206"/>
  <c r="K33" i="206"/>
  <c r="K32" i="206"/>
  <c r="K31" i="206"/>
  <c r="K30" i="206"/>
  <c r="K29" i="206"/>
  <c r="K28" i="206"/>
  <c r="K27" i="206"/>
  <c r="K26" i="206"/>
  <c r="K25" i="206"/>
  <c r="K24" i="206"/>
  <c r="K23" i="206"/>
  <c r="K22" i="206"/>
  <c r="K21" i="206"/>
  <c r="K20" i="206"/>
  <c r="K19" i="206"/>
  <c r="K18" i="206"/>
  <c r="K17" i="206"/>
  <c r="K16" i="206"/>
  <c r="K15" i="206"/>
  <c r="K14" i="206"/>
  <c r="K13" i="206"/>
  <c r="K12" i="206"/>
  <c r="K11" i="206"/>
  <c r="K10" i="206"/>
  <c r="K9" i="206"/>
  <c r="K8" i="206"/>
  <c r="K7" i="206"/>
  <c r="K6" i="206"/>
  <c r="I406" i="206"/>
  <c r="H406" i="206"/>
  <c r="G406" i="206"/>
  <c r="F406" i="206"/>
  <c r="I405" i="206"/>
  <c r="H405" i="206"/>
  <c r="G405" i="206"/>
  <c r="F405" i="206"/>
  <c r="I404" i="206"/>
  <c r="H404" i="206"/>
  <c r="G404" i="206"/>
  <c r="F404" i="206"/>
  <c r="I403" i="206"/>
  <c r="T403" i="206" s="1"/>
  <c r="H403" i="206"/>
  <c r="Q403" i="206" s="1"/>
  <c r="G403" i="206"/>
  <c r="N403" i="206" s="1"/>
  <c r="I402" i="206"/>
  <c r="T402" i="206" s="1"/>
  <c r="H402" i="206"/>
  <c r="Q402" i="206" s="1"/>
  <c r="G402" i="206"/>
  <c r="N402" i="206" s="1"/>
  <c r="I401" i="206"/>
  <c r="T401" i="206" s="1"/>
  <c r="H401" i="206"/>
  <c r="Q401" i="206" s="1"/>
  <c r="G401" i="206"/>
  <c r="N401" i="206" s="1"/>
  <c r="I383" i="206"/>
  <c r="H383" i="206"/>
  <c r="G383" i="206"/>
  <c r="N383" i="206" s="1"/>
  <c r="I382" i="206"/>
  <c r="T382" i="206" s="1"/>
  <c r="H382" i="206"/>
  <c r="G382" i="206"/>
  <c r="I381" i="206"/>
  <c r="H381" i="206"/>
  <c r="G381" i="206"/>
  <c r="I380" i="206"/>
  <c r="H380" i="206"/>
  <c r="G380" i="206"/>
  <c r="I379" i="206"/>
  <c r="H379" i="206"/>
  <c r="G379" i="206"/>
  <c r="I378" i="206"/>
  <c r="H378" i="206"/>
  <c r="G378" i="206"/>
  <c r="I377" i="206"/>
  <c r="H377" i="206"/>
  <c r="G377" i="206"/>
  <c r="I376" i="206"/>
  <c r="H376" i="206"/>
  <c r="G376" i="206"/>
  <c r="I375" i="206"/>
  <c r="H375" i="206"/>
  <c r="G375" i="206"/>
  <c r="N375" i="206" s="1"/>
  <c r="I374" i="206"/>
  <c r="T374" i="206" s="1"/>
  <c r="H374" i="206"/>
  <c r="G374" i="206"/>
  <c r="I373" i="206"/>
  <c r="H373" i="206"/>
  <c r="G373" i="206"/>
  <c r="I372" i="206"/>
  <c r="H372" i="206"/>
  <c r="G372" i="206"/>
  <c r="I371" i="206"/>
  <c r="H371" i="206"/>
  <c r="G371" i="206"/>
  <c r="I370" i="206"/>
  <c r="T370" i="206" s="1"/>
  <c r="H370" i="206"/>
  <c r="Q370" i="206" s="1"/>
  <c r="G370" i="206"/>
  <c r="N370" i="206" s="1"/>
  <c r="I369" i="206"/>
  <c r="H369" i="206"/>
  <c r="G369" i="206"/>
  <c r="I368" i="206"/>
  <c r="H368" i="206"/>
  <c r="G368" i="206"/>
  <c r="I367" i="206"/>
  <c r="H367" i="206"/>
  <c r="Q367" i="206" s="1"/>
  <c r="G367" i="206"/>
  <c r="N367" i="206" s="1"/>
  <c r="I366" i="206"/>
  <c r="H366" i="206"/>
  <c r="G366" i="206"/>
  <c r="I365" i="206"/>
  <c r="H365" i="206"/>
  <c r="G365" i="206"/>
  <c r="I364" i="206"/>
  <c r="H364" i="206"/>
  <c r="G364" i="206"/>
  <c r="I363" i="206"/>
  <c r="H363" i="206"/>
  <c r="G363" i="206"/>
  <c r="I362" i="206"/>
  <c r="H362" i="206"/>
  <c r="G362" i="206"/>
  <c r="I361" i="206"/>
  <c r="T361" i="206" s="1"/>
  <c r="H361" i="206"/>
  <c r="Q361" i="206" s="1"/>
  <c r="G361" i="206"/>
  <c r="N361" i="206" s="1"/>
  <c r="I360" i="206"/>
  <c r="T360" i="206" s="1"/>
  <c r="H360" i="206"/>
  <c r="G360" i="206"/>
  <c r="I359" i="206"/>
  <c r="T359" i="206" s="1"/>
  <c r="H359" i="206"/>
  <c r="Q359" i="206" s="1"/>
  <c r="G359" i="206"/>
  <c r="N359" i="206" s="1"/>
  <c r="I358" i="206"/>
  <c r="H358" i="206"/>
  <c r="G358" i="206"/>
  <c r="I357" i="206"/>
  <c r="H357" i="206"/>
  <c r="G357" i="206"/>
  <c r="I356" i="206"/>
  <c r="H356" i="206"/>
  <c r="G356" i="206"/>
  <c r="I355" i="206"/>
  <c r="H355" i="206"/>
  <c r="G355" i="206"/>
  <c r="I354" i="206"/>
  <c r="H354" i="206"/>
  <c r="G354" i="206"/>
  <c r="I353" i="206"/>
  <c r="H353" i="206"/>
  <c r="G353" i="206"/>
  <c r="I352" i="206"/>
  <c r="H352" i="206"/>
  <c r="G352" i="206"/>
  <c r="I351" i="206"/>
  <c r="H351" i="206"/>
  <c r="G351" i="206"/>
  <c r="I350" i="206"/>
  <c r="H350" i="206"/>
  <c r="G350" i="206"/>
  <c r="I349" i="206"/>
  <c r="H349" i="206"/>
  <c r="G349" i="206"/>
  <c r="I348" i="206"/>
  <c r="H348" i="206"/>
  <c r="G348" i="206"/>
  <c r="I347" i="206"/>
  <c r="H347" i="206"/>
  <c r="G347" i="206"/>
  <c r="I346" i="206"/>
  <c r="T346" i="206" s="1"/>
  <c r="H346" i="206"/>
  <c r="G346" i="206"/>
  <c r="I345" i="206"/>
  <c r="T345" i="206" s="1"/>
  <c r="H345" i="206"/>
  <c r="Q345" i="206" s="1"/>
  <c r="G345" i="206"/>
  <c r="N345" i="206" s="1"/>
  <c r="I344" i="206"/>
  <c r="H344" i="206"/>
  <c r="G344" i="206"/>
  <c r="I343" i="206"/>
  <c r="T343" i="206" s="1"/>
  <c r="H343" i="206"/>
  <c r="Q343" i="206" s="1"/>
  <c r="G343" i="206"/>
  <c r="N343" i="206" s="1"/>
  <c r="I342" i="206"/>
  <c r="H342" i="206"/>
  <c r="G342" i="206"/>
  <c r="I341" i="206"/>
  <c r="H341" i="206"/>
  <c r="G341" i="206"/>
  <c r="I340" i="206"/>
  <c r="H340" i="206"/>
  <c r="G340" i="206"/>
  <c r="N340" i="206" s="1"/>
  <c r="I339" i="206"/>
  <c r="H339" i="206"/>
  <c r="G339" i="206"/>
  <c r="I338" i="206"/>
  <c r="T338" i="206" s="1"/>
  <c r="H338" i="206"/>
  <c r="G338" i="206"/>
  <c r="N338" i="206" s="1"/>
  <c r="I337" i="206"/>
  <c r="T337" i="206" s="1"/>
  <c r="H337" i="206"/>
  <c r="Q337" i="206" s="1"/>
  <c r="G337" i="206"/>
  <c r="N337" i="206" s="1"/>
  <c r="I336" i="206"/>
  <c r="T336" i="206" s="1"/>
  <c r="H336" i="206"/>
  <c r="G336" i="206"/>
  <c r="I335" i="206"/>
  <c r="H335" i="206"/>
  <c r="G335" i="206"/>
  <c r="N335" i="206" s="1"/>
  <c r="I334" i="206"/>
  <c r="H334" i="206"/>
  <c r="G334" i="206"/>
  <c r="I333" i="206"/>
  <c r="H333" i="206"/>
  <c r="G333" i="206"/>
  <c r="I332" i="206"/>
  <c r="H332" i="206"/>
  <c r="G332" i="206"/>
  <c r="I331" i="206"/>
  <c r="H331" i="206"/>
  <c r="G331" i="206"/>
  <c r="I330" i="206"/>
  <c r="H330" i="206"/>
  <c r="G330" i="206"/>
  <c r="I329" i="206"/>
  <c r="H329" i="206"/>
  <c r="G329" i="206"/>
  <c r="I328" i="206"/>
  <c r="H328" i="206"/>
  <c r="G328" i="206"/>
  <c r="I327" i="206"/>
  <c r="H327" i="206"/>
  <c r="G327" i="206"/>
  <c r="I326" i="206"/>
  <c r="H326" i="206"/>
  <c r="G326" i="206"/>
  <c r="I325" i="206"/>
  <c r="H325" i="206"/>
  <c r="G325" i="206"/>
  <c r="I324" i="206"/>
  <c r="H324" i="206"/>
  <c r="G324" i="206"/>
  <c r="I323" i="206"/>
  <c r="H323" i="206"/>
  <c r="G323" i="206"/>
  <c r="I322" i="206"/>
  <c r="T322" i="206" s="1"/>
  <c r="H322" i="206"/>
  <c r="Q322" i="206" s="1"/>
  <c r="G322" i="206"/>
  <c r="N322" i="206" s="1"/>
  <c r="I321" i="206"/>
  <c r="H321" i="206"/>
  <c r="G321" i="206"/>
  <c r="I320" i="206"/>
  <c r="H320" i="206"/>
  <c r="G320" i="206"/>
  <c r="I319" i="206"/>
  <c r="H319" i="206"/>
  <c r="Q319" i="206" s="1"/>
  <c r="G319" i="206"/>
  <c r="N319" i="206" s="1"/>
  <c r="I318" i="206"/>
  <c r="H318" i="206"/>
  <c r="G318" i="206"/>
  <c r="I317" i="206"/>
  <c r="H317" i="206"/>
  <c r="G317" i="206"/>
  <c r="I316" i="206"/>
  <c r="H316" i="206"/>
  <c r="G316" i="206"/>
  <c r="I315" i="206"/>
  <c r="H315" i="206"/>
  <c r="G315" i="206"/>
  <c r="I314" i="206"/>
  <c r="T314" i="206" s="1"/>
  <c r="H314" i="206"/>
  <c r="Q314" i="206" s="1"/>
  <c r="G314" i="206"/>
  <c r="N314" i="206" s="1"/>
  <c r="I313" i="206"/>
  <c r="H313" i="206"/>
  <c r="G313" i="206"/>
  <c r="N313" i="206" s="1"/>
  <c r="I312" i="206"/>
  <c r="T312" i="206" s="1"/>
  <c r="H312" i="206"/>
  <c r="Q312" i="206" s="1"/>
  <c r="G312" i="206"/>
  <c r="N312" i="206" s="1"/>
  <c r="I311" i="206"/>
  <c r="T311" i="206" s="1"/>
  <c r="H311" i="206"/>
  <c r="Q311" i="206" s="1"/>
  <c r="G311" i="206"/>
  <c r="N311" i="206" s="1"/>
  <c r="I310" i="206"/>
  <c r="H310" i="206"/>
  <c r="G310" i="206"/>
  <c r="I309" i="206"/>
  <c r="H309" i="206"/>
  <c r="G309" i="206"/>
  <c r="I308" i="206"/>
  <c r="H308" i="206"/>
  <c r="G308" i="206"/>
  <c r="I307" i="206"/>
  <c r="H307" i="206"/>
  <c r="G307" i="206"/>
  <c r="I306" i="206"/>
  <c r="T306" i="206" s="1"/>
  <c r="H306" i="206"/>
  <c r="Q306" i="206" s="1"/>
  <c r="G306" i="206"/>
  <c r="N306" i="206" s="1"/>
  <c r="I305" i="206"/>
  <c r="H305" i="206"/>
  <c r="G305" i="206"/>
  <c r="I304" i="206"/>
  <c r="H304" i="206"/>
  <c r="G304" i="206"/>
  <c r="I303" i="206"/>
  <c r="H303" i="206"/>
  <c r="G303" i="206"/>
  <c r="I302" i="206"/>
  <c r="H302" i="206"/>
  <c r="G302" i="206"/>
  <c r="N302" i="206" s="1"/>
  <c r="O302" i="206" s="1"/>
  <c r="P302" i="206" s="1"/>
  <c r="I301" i="206"/>
  <c r="H301" i="206"/>
  <c r="G301" i="206"/>
  <c r="I300" i="206"/>
  <c r="H300" i="206"/>
  <c r="G300" i="206"/>
  <c r="N300" i="206" s="1"/>
  <c r="I299" i="206"/>
  <c r="H299" i="206"/>
  <c r="G299" i="206"/>
  <c r="I298" i="206"/>
  <c r="H298" i="206"/>
  <c r="G298" i="206"/>
  <c r="N298" i="206" s="1"/>
  <c r="I297" i="206"/>
  <c r="H297" i="206"/>
  <c r="G297" i="206"/>
  <c r="I296" i="206"/>
  <c r="H296" i="206"/>
  <c r="G296" i="206"/>
  <c r="I295" i="206"/>
  <c r="H295" i="206"/>
  <c r="Q295" i="206" s="1"/>
  <c r="G295" i="206"/>
  <c r="N295" i="206" s="1"/>
  <c r="I294" i="206"/>
  <c r="H294" i="206"/>
  <c r="G294" i="206"/>
  <c r="I293" i="206"/>
  <c r="H293" i="206"/>
  <c r="G293" i="206"/>
  <c r="I292" i="206"/>
  <c r="H292" i="206"/>
  <c r="G292" i="206"/>
  <c r="I291" i="206"/>
  <c r="H291" i="206"/>
  <c r="G291" i="206"/>
  <c r="I290" i="206"/>
  <c r="H290" i="206"/>
  <c r="G290" i="206"/>
  <c r="I289" i="206"/>
  <c r="T289" i="206" s="1"/>
  <c r="H289" i="206"/>
  <c r="Q289" i="206" s="1"/>
  <c r="G289" i="206"/>
  <c r="N289" i="206" s="1"/>
  <c r="I288" i="206"/>
  <c r="T288" i="206" s="1"/>
  <c r="H288" i="206"/>
  <c r="Q288" i="206" s="1"/>
  <c r="G288" i="206"/>
  <c r="N288" i="206" s="1"/>
  <c r="I287" i="206"/>
  <c r="T287" i="206" s="1"/>
  <c r="H287" i="206"/>
  <c r="Q287" i="206" s="1"/>
  <c r="G287" i="206"/>
  <c r="N287" i="206" s="1"/>
  <c r="I286" i="206"/>
  <c r="H286" i="206"/>
  <c r="G286" i="206"/>
  <c r="I285" i="206"/>
  <c r="H285" i="206"/>
  <c r="G285" i="206"/>
  <c r="I284" i="206"/>
  <c r="H284" i="206"/>
  <c r="G284" i="206"/>
  <c r="I283" i="206"/>
  <c r="H283" i="206"/>
  <c r="G283" i="206"/>
  <c r="I282" i="206"/>
  <c r="T282" i="206" s="1"/>
  <c r="H282" i="206"/>
  <c r="Q282" i="206" s="1"/>
  <c r="G282" i="206"/>
  <c r="N282" i="206" s="1"/>
  <c r="I281" i="206"/>
  <c r="H281" i="206"/>
  <c r="G281" i="206"/>
  <c r="N281" i="206" s="1"/>
  <c r="I280" i="206"/>
  <c r="H280" i="206"/>
  <c r="G280" i="206"/>
  <c r="I279" i="206"/>
  <c r="T279" i="206" s="1"/>
  <c r="H279" i="206"/>
  <c r="G279" i="206"/>
  <c r="N279" i="206" s="1"/>
  <c r="I278" i="206"/>
  <c r="T278" i="206" s="1"/>
  <c r="H278" i="206"/>
  <c r="G278" i="206"/>
  <c r="I277" i="206"/>
  <c r="H277" i="206"/>
  <c r="G277" i="206"/>
  <c r="I276" i="206"/>
  <c r="H276" i="206"/>
  <c r="G276" i="206"/>
  <c r="I275" i="206"/>
  <c r="H275" i="206"/>
  <c r="G275" i="206"/>
  <c r="I274" i="206"/>
  <c r="T274" i="206" s="1"/>
  <c r="H274" i="206"/>
  <c r="Q274" i="206" s="1"/>
  <c r="G274" i="206"/>
  <c r="N274" i="206" s="1"/>
  <c r="I273" i="206"/>
  <c r="H273" i="206"/>
  <c r="G273" i="206"/>
  <c r="I272" i="206"/>
  <c r="H272" i="206"/>
  <c r="G272" i="206"/>
  <c r="I271" i="206"/>
  <c r="H271" i="206"/>
  <c r="G271" i="206"/>
  <c r="I270" i="206"/>
  <c r="H270" i="206"/>
  <c r="G270" i="206"/>
  <c r="I269" i="206"/>
  <c r="H269" i="206"/>
  <c r="G269" i="206"/>
  <c r="I268" i="206"/>
  <c r="H268" i="206"/>
  <c r="G268" i="206"/>
  <c r="I267" i="206"/>
  <c r="H267" i="206"/>
  <c r="G267" i="206"/>
  <c r="I266" i="206"/>
  <c r="T266" i="206" s="1"/>
  <c r="H266" i="206"/>
  <c r="Q266" i="206" s="1"/>
  <c r="G266" i="206"/>
  <c r="N266" i="206" s="1"/>
  <c r="I265" i="206"/>
  <c r="H265" i="206"/>
  <c r="Q265" i="206" s="1"/>
  <c r="G265" i="206"/>
  <c r="N265" i="206" s="1"/>
  <c r="I264" i="206"/>
  <c r="T264" i="206" s="1"/>
  <c r="H264" i="206"/>
  <c r="G264" i="206"/>
  <c r="N264" i="206" s="1"/>
  <c r="O264" i="206" s="1"/>
  <c r="P264" i="206" s="1"/>
  <c r="I263" i="206"/>
  <c r="H263" i="206"/>
  <c r="Q263" i="206" s="1"/>
  <c r="G263" i="206"/>
  <c r="N263" i="206" s="1"/>
  <c r="I262" i="206"/>
  <c r="H262" i="206"/>
  <c r="G262" i="206"/>
  <c r="I261" i="206"/>
  <c r="H261" i="206"/>
  <c r="G261" i="206"/>
  <c r="I260" i="206"/>
  <c r="H260" i="206"/>
  <c r="G260" i="206"/>
  <c r="I259" i="206"/>
  <c r="H259" i="206"/>
  <c r="Q259" i="206" s="1"/>
  <c r="G259" i="206"/>
  <c r="I258" i="206"/>
  <c r="H258" i="206"/>
  <c r="Q258" i="206" s="1"/>
  <c r="G258" i="206"/>
  <c r="I257" i="206"/>
  <c r="H257" i="206"/>
  <c r="G257" i="206"/>
  <c r="N257" i="206" s="1"/>
  <c r="I256" i="206"/>
  <c r="H256" i="206"/>
  <c r="G256" i="206"/>
  <c r="I255" i="206"/>
  <c r="H255" i="206"/>
  <c r="G255" i="206"/>
  <c r="N255" i="206" s="1"/>
  <c r="I254" i="206"/>
  <c r="H254" i="206"/>
  <c r="G254" i="206"/>
  <c r="I253" i="206"/>
  <c r="H253" i="206"/>
  <c r="G253" i="206"/>
  <c r="I252" i="206"/>
  <c r="H252" i="206"/>
  <c r="G252" i="206"/>
  <c r="I251" i="206"/>
  <c r="H251" i="206"/>
  <c r="Q251" i="206" s="1"/>
  <c r="G251" i="206"/>
  <c r="N251" i="206" s="1"/>
  <c r="I250" i="206"/>
  <c r="H250" i="206"/>
  <c r="G250" i="206"/>
  <c r="I249" i="206"/>
  <c r="H249" i="206"/>
  <c r="G249" i="206"/>
  <c r="I248" i="206"/>
  <c r="H248" i="206"/>
  <c r="G248" i="206"/>
  <c r="I247" i="206"/>
  <c r="H247" i="206"/>
  <c r="G247" i="206"/>
  <c r="N247" i="206" s="1"/>
  <c r="I246" i="206"/>
  <c r="H246" i="206"/>
  <c r="G246" i="206"/>
  <c r="I245" i="206"/>
  <c r="H245" i="206"/>
  <c r="G245" i="206"/>
  <c r="I244" i="206"/>
  <c r="H244" i="206"/>
  <c r="G244" i="206"/>
  <c r="I243" i="206"/>
  <c r="H243" i="206"/>
  <c r="G243" i="206"/>
  <c r="I242" i="206"/>
  <c r="H242" i="206"/>
  <c r="Q242" i="206" s="1"/>
  <c r="G242" i="206"/>
  <c r="N242" i="206" s="1"/>
  <c r="I241" i="206"/>
  <c r="H241" i="206"/>
  <c r="G241" i="206"/>
  <c r="I240" i="206"/>
  <c r="H240" i="206"/>
  <c r="G240" i="206"/>
  <c r="I239" i="206"/>
  <c r="H239" i="206"/>
  <c r="G239" i="206"/>
  <c r="I238" i="206"/>
  <c r="H238" i="206"/>
  <c r="G238" i="206"/>
  <c r="I237" i="206"/>
  <c r="H237" i="206"/>
  <c r="G237" i="206"/>
  <c r="I236" i="206"/>
  <c r="H236" i="206"/>
  <c r="G236" i="206"/>
  <c r="I235" i="206"/>
  <c r="H235" i="206"/>
  <c r="G235" i="206"/>
  <c r="I234" i="206"/>
  <c r="H234" i="206"/>
  <c r="Q234" i="206" s="1"/>
  <c r="G234" i="206"/>
  <c r="N234" i="206" s="1"/>
  <c r="I233" i="206"/>
  <c r="H233" i="206"/>
  <c r="G233" i="206"/>
  <c r="I232" i="206"/>
  <c r="H232" i="206"/>
  <c r="G232" i="206"/>
  <c r="I231" i="206"/>
  <c r="H231" i="206"/>
  <c r="G231" i="206"/>
  <c r="I230" i="206"/>
  <c r="H230" i="206"/>
  <c r="G230" i="206"/>
  <c r="I229" i="206"/>
  <c r="H229" i="206"/>
  <c r="G229" i="206"/>
  <c r="I228" i="206"/>
  <c r="H228" i="206"/>
  <c r="G228" i="206"/>
  <c r="I227" i="206"/>
  <c r="H227" i="206"/>
  <c r="Q227" i="206" s="1"/>
  <c r="G227" i="206"/>
  <c r="I226" i="206"/>
  <c r="H226" i="206"/>
  <c r="Q226" i="206" s="1"/>
  <c r="G226" i="206"/>
  <c r="N226" i="206" s="1"/>
  <c r="I225" i="206"/>
  <c r="H225" i="206"/>
  <c r="G225" i="206"/>
  <c r="I224" i="206"/>
  <c r="H224" i="206"/>
  <c r="G224" i="206"/>
  <c r="I223" i="206"/>
  <c r="H223" i="206"/>
  <c r="G223" i="206"/>
  <c r="N223" i="206" s="1"/>
  <c r="I222" i="206"/>
  <c r="H222" i="206"/>
  <c r="G222" i="206"/>
  <c r="I221" i="206"/>
  <c r="H221" i="206"/>
  <c r="G221" i="206"/>
  <c r="I220" i="206"/>
  <c r="T220" i="206" s="1"/>
  <c r="H220" i="206"/>
  <c r="G220" i="206"/>
  <c r="N220" i="206" s="1"/>
  <c r="I219" i="206"/>
  <c r="H219" i="206"/>
  <c r="G219" i="206"/>
  <c r="I218" i="206"/>
  <c r="T218" i="206" s="1"/>
  <c r="H218" i="206"/>
  <c r="Q218" i="206" s="1"/>
  <c r="G218" i="206"/>
  <c r="N218" i="206" s="1"/>
  <c r="I217" i="206"/>
  <c r="T217" i="206" s="1"/>
  <c r="H217" i="206"/>
  <c r="G217" i="206"/>
  <c r="N217" i="206" s="1"/>
  <c r="I216" i="206"/>
  <c r="T216" i="206" s="1"/>
  <c r="H216" i="206"/>
  <c r="G216" i="206"/>
  <c r="N216" i="206" s="1"/>
  <c r="I215" i="206"/>
  <c r="H215" i="206"/>
  <c r="G215" i="206"/>
  <c r="I214" i="206"/>
  <c r="T214" i="206" s="1"/>
  <c r="H214" i="206"/>
  <c r="G214" i="206"/>
  <c r="N214" i="206" s="1"/>
  <c r="I213" i="206"/>
  <c r="H213" i="206"/>
  <c r="G213" i="206"/>
  <c r="I212" i="206"/>
  <c r="H212" i="206"/>
  <c r="G212" i="206"/>
  <c r="I211" i="206"/>
  <c r="H211" i="206"/>
  <c r="G211" i="206"/>
  <c r="I210" i="206"/>
  <c r="T210" i="206" s="1"/>
  <c r="H210" i="206"/>
  <c r="Q210" i="206" s="1"/>
  <c r="G210" i="206"/>
  <c r="N210" i="206" s="1"/>
  <c r="I209" i="206"/>
  <c r="H209" i="206"/>
  <c r="G209" i="206"/>
  <c r="I208" i="206"/>
  <c r="H208" i="206"/>
  <c r="G208" i="206"/>
  <c r="I207" i="206"/>
  <c r="H207" i="206"/>
  <c r="G207" i="206"/>
  <c r="I206" i="206"/>
  <c r="H206" i="206"/>
  <c r="G206" i="206"/>
  <c r="I205" i="206"/>
  <c r="H205" i="206"/>
  <c r="G205" i="206"/>
  <c r="I204" i="206"/>
  <c r="H204" i="206"/>
  <c r="G204" i="206"/>
  <c r="I203" i="206"/>
  <c r="H203" i="206"/>
  <c r="G203" i="206"/>
  <c r="I202" i="206"/>
  <c r="T202" i="206" s="1"/>
  <c r="H202" i="206"/>
  <c r="Q202" i="206" s="1"/>
  <c r="G202" i="206"/>
  <c r="N202" i="206" s="1"/>
  <c r="I201" i="206"/>
  <c r="H201" i="206"/>
  <c r="G201" i="206"/>
  <c r="I200" i="206"/>
  <c r="H200" i="206"/>
  <c r="G200" i="206"/>
  <c r="I199" i="206"/>
  <c r="H199" i="206"/>
  <c r="G199" i="206"/>
  <c r="I198" i="206"/>
  <c r="H198" i="206"/>
  <c r="G198" i="206"/>
  <c r="I197" i="206"/>
  <c r="H197" i="206"/>
  <c r="G197" i="206"/>
  <c r="I196" i="206"/>
  <c r="H196" i="206"/>
  <c r="G196" i="206"/>
  <c r="I195" i="206"/>
  <c r="H195" i="206"/>
  <c r="G195" i="206"/>
  <c r="I194" i="206"/>
  <c r="T194" i="206" s="1"/>
  <c r="H194" i="206"/>
  <c r="G194" i="206"/>
  <c r="N194" i="206" s="1"/>
  <c r="I193" i="206"/>
  <c r="T193" i="206" s="1"/>
  <c r="H193" i="206"/>
  <c r="G193" i="206"/>
  <c r="I192" i="206"/>
  <c r="H192" i="206"/>
  <c r="G192" i="206"/>
  <c r="I191" i="206"/>
  <c r="H191" i="206"/>
  <c r="G191" i="206"/>
  <c r="I190" i="206"/>
  <c r="H190" i="206"/>
  <c r="G190" i="206"/>
  <c r="I189" i="206"/>
  <c r="H189" i="206"/>
  <c r="G189" i="206"/>
  <c r="I188" i="206"/>
  <c r="H188" i="206"/>
  <c r="G188" i="206"/>
  <c r="I187" i="206"/>
  <c r="H187" i="206"/>
  <c r="Q187" i="206" s="1"/>
  <c r="G187" i="206"/>
  <c r="I186" i="206"/>
  <c r="T186" i="206" s="1"/>
  <c r="H186" i="206"/>
  <c r="G186" i="206"/>
  <c r="I185" i="206"/>
  <c r="H185" i="206"/>
  <c r="G185" i="206"/>
  <c r="I184" i="206"/>
  <c r="H184" i="206"/>
  <c r="G184" i="206"/>
  <c r="N184" i="206" s="1"/>
  <c r="I183" i="206"/>
  <c r="T183" i="206" s="1"/>
  <c r="H183" i="206"/>
  <c r="G183" i="206"/>
  <c r="N183" i="206" s="1"/>
  <c r="I182" i="206"/>
  <c r="T182" i="206" s="1"/>
  <c r="H182" i="206"/>
  <c r="Q182" i="206" s="1"/>
  <c r="G182" i="206"/>
  <c r="I181" i="206"/>
  <c r="H181" i="206"/>
  <c r="G181" i="206"/>
  <c r="I180" i="206"/>
  <c r="H180" i="206"/>
  <c r="G180" i="206"/>
  <c r="I179" i="206"/>
  <c r="H179" i="206"/>
  <c r="G179" i="206"/>
  <c r="I178" i="206"/>
  <c r="T178" i="206" s="1"/>
  <c r="H178" i="206"/>
  <c r="Q178" i="206" s="1"/>
  <c r="G178" i="206"/>
  <c r="N178" i="206" s="1"/>
  <c r="I177" i="206"/>
  <c r="H177" i="206"/>
  <c r="G177" i="206"/>
  <c r="I176" i="206"/>
  <c r="H176" i="206"/>
  <c r="G176" i="206"/>
  <c r="I175" i="206"/>
  <c r="H175" i="206"/>
  <c r="G175" i="206"/>
  <c r="I174" i="206"/>
  <c r="H174" i="206"/>
  <c r="G174" i="206"/>
  <c r="I173" i="206"/>
  <c r="H173" i="206"/>
  <c r="G173" i="206"/>
  <c r="I172" i="206"/>
  <c r="H172" i="206"/>
  <c r="G172" i="206"/>
  <c r="I171" i="206"/>
  <c r="H171" i="206"/>
  <c r="G171" i="206"/>
  <c r="I170" i="206"/>
  <c r="T170" i="206" s="1"/>
  <c r="H170" i="206"/>
  <c r="Q170" i="206" s="1"/>
  <c r="G170" i="206"/>
  <c r="N170" i="206" s="1"/>
  <c r="I169" i="206"/>
  <c r="H169" i="206"/>
  <c r="G169" i="206"/>
  <c r="N169" i="206" s="1"/>
  <c r="I168" i="206"/>
  <c r="T168" i="206" s="1"/>
  <c r="H168" i="206"/>
  <c r="Q168" i="206" s="1"/>
  <c r="G168" i="206"/>
  <c r="N168" i="206" s="1"/>
  <c r="I167" i="206"/>
  <c r="H167" i="206"/>
  <c r="G167" i="206"/>
  <c r="N167" i="206" s="1"/>
  <c r="I166" i="206"/>
  <c r="H166" i="206"/>
  <c r="G166" i="206"/>
  <c r="I165" i="206"/>
  <c r="H165" i="206"/>
  <c r="G165" i="206"/>
  <c r="I164" i="206"/>
  <c r="H164" i="206"/>
  <c r="G164" i="206"/>
  <c r="I163" i="206"/>
  <c r="H163" i="206"/>
  <c r="G163" i="206"/>
  <c r="I162" i="206"/>
  <c r="H162" i="206"/>
  <c r="G162" i="206"/>
  <c r="I161" i="206"/>
  <c r="H161" i="206"/>
  <c r="G161" i="206"/>
  <c r="I160" i="206"/>
  <c r="H160" i="206"/>
  <c r="G160" i="206"/>
  <c r="N160" i="206" s="1"/>
  <c r="I159" i="206"/>
  <c r="H159" i="206"/>
  <c r="G159" i="206"/>
  <c r="I158" i="206"/>
  <c r="H158" i="206"/>
  <c r="G158" i="206"/>
  <c r="I157" i="206"/>
  <c r="H157" i="206"/>
  <c r="G157" i="206"/>
  <c r="I156" i="206"/>
  <c r="H156" i="206"/>
  <c r="G156" i="206"/>
  <c r="I155" i="206"/>
  <c r="H155" i="206"/>
  <c r="G155" i="206"/>
  <c r="I154" i="206"/>
  <c r="T154" i="206" s="1"/>
  <c r="H154" i="206"/>
  <c r="G154" i="206"/>
  <c r="I153" i="206"/>
  <c r="H153" i="206"/>
  <c r="G153" i="206"/>
  <c r="I152" i="206"/>
  <c r="H152" i="206"/>
  <c r="Q152" i="206" s="1"/>
  <c r="G152" i="206"/>
  <c r="I151" i="206"/>
  <c r="H151" i="206"/>
  <c r="G151" i="206"/>
  <c r="I150" i="206"/>
  <c r="H150" i="206"/>
  <c r="G150" i="206"/>
  <c r="I149" i="206"/>
  <c r="H149" i="206"/>
  <c r="G149" i="206"/>
  <c r="I148" i="206"/>
  <c r="H148" i="206"/>
  <c r="G148" i="206"/>
  <c r="I147" i="206"/>
  <c r="H147" i="206"/>
  <c r="G147" i="206"/>
  <c r="I146" i="206"/>
  <c r="T146" i="206" s="1"/>
  <c r="H146" i="206"/>
  <c r="Q146" i="206" s="1"/>
  <c r="G146" i="206"/>
  <c r="N146" i="206" s="1"/>
  <c r="I145" i="206"/>
  <c r="T145" i="206" s="1"/>
  <c r="H145" i="206"/>
  <c r="Q145" i="206" s="1"/>
  <c r="G145" i="206"/>
  <c r="I144" i="206"/>
  <c r="H144" i="206"/>
  <c r="G144" i="206"/>
  <c r="N144" i="206" s="1"/>
  <c r="I143" i="206"/>
  <c r="H143" i="206"/>
  <c r="G143" i="206"/>
  <c r="I142" i="206"/>
  <c r="T142" i="206" s="1"/>
  <c r="H142" i="206"/>
  <c r="G142" i="206"/>
  <c r="N142" i="206" s="1"/>
  <c r="I141" i="206"/>
  <c r="H141" i="206"/>
  <c r="G141" i="206"/>
  <c r="I140" i="206"/>
  <c r="H140" i="206"/>
  <c r="G140" i="206"/>
  <c r="I139" i="206"/>
  <c r="H139" i="206"/>
  <c r="Q139" i="206" s="1"/>
  <c r="G139" i="206"/>
  <c r="N139" i="206" s="1"/>
  <c r="I138" i="206"/>
  <c r="T138" i="206" s="1"/>
  <c r="H138" i="206"/>
  <c r="Q138" i="206" s="1"/>
  <c r="G138" i="206"/>
  <c r="N138" i="206" s="1"/>
  <c r="I137" i="206"/>
  <c r="H137" i="206"/>
  <c r="G137" i="206"/>
  <c r="I136" i="206"/>
  <c r="H136" i="206"/>
  <c r="G136" i="206"/>
  <c r="I135" i="206"/>
  <c r="H135" i="206"/>
  <c r="G135" i="206"/>
  <c r="I134" i="206"/>
  <c r="H134" i="206"/>
  <c r="G134" i="206"/>
  <c r="N134" i="206" s="1"/>
  <c r="I133" i="206"/>
  <c r="H133" i="206"/>
  <c r="G133" i="206"/>
  <c r="I132" i="206"/>
  <c r="H132" i="206"/>
  <c r="G132" i="206"/>
  <c r="N132" i="206" s="1"/>
  <c r="I131" i="206"/>
  <c r="H131" i="206"/>
  <c r="G131" i="206"/>
  <c r="I130" i="206"/>
  <c r="T130" i="206" s="1"/>
  <c r="H130" i="206"/>
  <c r="Q130" i="206" s="1"/>
  <c r="G130" i="206"/>
  <c r="N130" i="206" s="1"/>
  <c r="O130" i="206" s="1"/>
  <c r="P130" i="206" s="1"/>
  <c r="I129" i="206"/>
  <c r="H129" i="206"/>
  <c r="G129" i="206"/>
  <c r="I128" i="206"/>
  <c r="H128" i="206"/>
  <c r="G128" i="206"/>
  <c r="I127" i="206"/>
  <c r="H127" i="206"/>
  <c r="G127" i="206"/>
  <c r="N127" i="206" s="1"/>
  <c r="I126" i="206"/>
  <c r="H126" i="206"/>
  <c r="G126" i="206"/>
  <c r="I125" i="206"/>
  <c r="H125" i="206"/>
  <c r="G125" i="206"/>
  <c r="I124" i="206"/>
  <c r="H124" i="206"/>
  <c r="G124" i="206"/>
  <c r="I123" i="206"/>
  <c r="H123" i="206"/>
  <c r="G123" i="206"/>
  <c r="I122" i="206"/>
  <c r="H122" i="206"/>
  <c r="Q122" i="206" s="1"/>
  <c r="G122" i="206"/>
  <c r="I121" i="206"/>
  <c r="T121" i="206" s="1"/>
  <c r="H121" i="206"/>
  <c r="Q121" i="206" s="1"/>
  <c r="G121" i="206"/>
  <c r="I120" i="206"/>
  <c r="H120" i="206"/>
  <c r="G120" i="206"/>
  <c r="I119" i="206"/>
  <c r="H119" i="206"/>
  <c r="G119" i="206"/>
  <c r="I118" i="206"/>
  <c r="H118" i="206"/>
  <c r="G118" i="206"/>
  <c r="I117" i="206"/>
  <c r="H117" i="206"/>
  <c r="G117" i="206"/>
  <c r="I116" i="206"/>
  <c r="H116" i="206"/>
  <c r="G116" i="206"/>
  <c r="I115" i="206"/>
  <c r="H115" i="206"/>
  <c r="G115" i="206"/>
  <c r="I114" i="206"/>
  <c r="H114" i="206"/>
  <c r="Q114" i="206" s="1"/>
  <c r="G114" i="206"/>
  <c r="I113" i="206"/>
  <c r="H113" i="206"/>
  <c r="G113" i="206"/>
  <c r="I112" i="206"/>
  <c r="H112" i="206"/>
  <c r="G112" i="206"/>
  <c r="I111" i="206"/>
  <c r="H111" i="206"/>
  <c r="G111" i="206"/>
  <c r="I110" i="206"/>
  <c r="H110" i="206"/>
  <c r="G110" i="206"/>
  <c r="N110" i="206" s="1"/>
  <c r="I109" i="206"/>
  <c r="H109" i="206"/>
  <c r="G109" i="206"/>
  <c r="I108" i="206"/>
  <c r="H108" i="206"/>
  <c r="Q108" i="206" s="1"/>
  <c r="G108" i="206"/>
  <c r="I107" i="206"/>
  <c r="H107" i="206"/>
  <c r="G107" i="206"/>
  <c r="I106" i="206"/>
  <c r="H106" i="206"/>
  <c r="G106" i="206"/>
  <c r="N106" i="206" s="1"/>
  <c r="I105" i="206"/>
  <c r="H105" i="206"/>
  <c r="G105" i="206"/>
  <c r="I104" i="206"/>
  <c r="H104" i="206"/>
  <c r="G104" i="206"/>
  <c r="I103" i="206"/>
  <c r="H103" i="206"/>
  <c r="G103" i="206"/>
  <c r="N103" i="206" s="1"/>
  <c r="I102" i="206"/>
  <c r="H102" i="206"/>
  <c r="G102" i="206"/>
  <c r="I101" i="206"/>
  <c r="H101" i="206"/>
  <c r="G101" i="206"/>
  <c r="I100" i="206"/>
  <c r="H100" i="206"/>
  <c r="G100" i="206"/>
  <c r="I99" i="206"/>
  <c r="H99" i="206"/>
  <c r="G99" i="206"/>
  <c r="I98" i="206"/>
  <c r="H98" i="206"/>
  <c r="Q98" i="206" s="1"/>
  <c r="G98" i="206"/>
  <c r="N98" i="206" s="1"/>
  <c r="I97" i="206"/>
  <c r="T97" i="206" s="1"/>
  <c r="H97" i="206"/>
  <c r="Q97" i="206" s="1"/>
  <c r="G97" i="206"/>
  <c r="N97" i="206" s="1"/>
  <c r="I96" i="206"/>
  <c r="H96" i="206"/>
  <c r="G96" i="206"/>
  <c r="I95" i="206"/>
  <c r="H95" i="206"/>
  <c r="G95" i="206"/>
  <c r="I94" i="206"/>
  <c r="H94" i="206"/>
  <c r="G94" i="206"/>
  <c r="I93" i="206"/>
  <c r="H93" i="206"/>
  <c r="G93" i="206"/>
  <c r="I92" i="206"/>
  <c r="H92" i="206"/>
  <c r="G92" i="206"/>
  <c r="I91" i="206"/>
  <c r="H91" i="206"/>
  <c r="G91" i="206"/>
  <c r="I90" i="206"/>
  <c r="H90" i="206"/>
  <c r="Q90" i="206" s="1"/>
  <c r="G90" i="206"/>
  <c r="N90" i="206" s="1"/>
  <c r="I89" i="206"/>
  <c r="H89" i="206"/>
  <c r="G89" i="206"/>
  <c r="I88" i="206"/>
  <c r="H88" i="206"/>
  <c r="G88" i="206"/>
  <c r="I87" i="206"/>
  <c r="H87" i="206"/>
  <c r="G87" i="206"/>
  <c r="I86" i="206"/>
  <c r="H86" i="206"/>
  <c r="G86" i="206"/>
  <c r="I85" i="206"/>
  <c r="H85" i="206"/>
  <c r="G85" i="206"/>
  <c r="I84" i="206"/>
  <c r="H84" i="206"/>
  <c r="G84" i="206"/>
  <c r="N84" i="206" s="1"/>
  <c r="I83" i="206"/>
  <c r="H83" i="206"/>
  <c r="G83" i="206"/>
  <c r="I82" i="206"/>
  <c r="T82" i="206" s="1"/>
  <c r="H82" i="206"/>
  <c r="Q82" i="206" s="1"/>
  <c r="G82" i="206"/>
  <c r="N82" i="206" s="1"/>
  <c r="I81" i="206"/>
  <c r="H81" i="206"/>
  <c r="G81" i="206"/>
  <c r="I80" i="206"/>
  <c r="H80" i="206"/>
  <c r="G80" i="206"/>
  <c r="I79" i="206"/>
  <c r="H79" i="206"/>
  <c r="G79" i="206"/>
  <c r="I78" i="206"/>
  <c r="H78" i="206"/>
  <c r="G78" i="206"/>
  <c r="N78" i="206" s="1"/>
  <c r="I77" i="206"/>
  <c r="H77" i="206"/>
  <c r="G77" i="206"/>
  <c r="I76" i="206"/>
  <c r="H76" i="206"/>
  <c r="G76" i="206"/>
  <c r="I75" i="206"/>
  <c r="H75" i="206"/>
  <c r="G75" i="206"/>
  <c r="I74" i="206"/>
  <c r="T74" i="206" s="1"/>
  <c r="H74" i="206"/>
  <c r="Q74" i="206" s="1"/>
  <c r="G74" i="206"/>
  <c r="N74" i="206" s="1"/>
  <c r="I73" i="206"/>
  <c r="H73" i="206"/>
  <c r="G73" i="206"/>
  <c r="I72" i="206"/>
  <c r="H72" i="206"/>
  <c r="G72" i="206"/>
  <c r="I71" i="206"/>
  <c r="H71" i="206"/>
  <c r="G71" i="206"/>
  <c r="N71" i="206" s="1"/>
  <c r="I70" i="206"/>
  <c r="H70" i="206"/>
  <c r="G70" i="206"/>
  <c r="N70" i="206" s="1"/>
  <c r="I69" i="206"/>
  <c r="H69" i="206"/>
  <c r="G69" i="206"/>
  <c r="I68" i="206"/>
  <c r="H68" i="206"/>
  <c r="G68" i="206"/>
  <c r="I67" i="206"/>
  <c r="H67" i="206"/>
  <c r="Q67" i="206" s="1"/>
  <c r="G67" i="206"/>
  <c r="I66" i="206"/>
  <c r="T66" i="206" s="1"/>
  <c r="H66" i="206"/>
  <c r="Q66" i="206" s="1"/>
  <c r="G66" i="206"/>
  <c r="N66" i="206" s="1"/>
  <c r="I65" i="206"/>
  <c r="H65" i="206"/>
  <c r="G65" i="206"/>
  <c r="I64" i="206"/>
  <c r="H64" i="206"/>
  <c r="G64" i="206"/>
  <c r="I63" i="206"/>
  <c r="H63" i="206"/>
  <c r="G63" i="206"/>
  <c r="I62" i="206"/>
  <c r="H62" i="206"/>
  <c r="G62" i="206"/>
  <c r="I61" i="206"/>
  <c r="H61" i="206"/>
  <c r="G61" i="206"/>
  <c r="I60" i="206"/>
  <c r="H60" i="206"/>
  <c r="G60" i="206"/>
  <c r="I59" i="206"/>
  <c r="H59" i="206"/>
  <c r="Q59" i="206" s="1"/>
  <c r="G59" i="206"/>
  <c r="N59" i="206" s="1"/>
  <c r="O59" i="206" s="1"/>
  <c r="P59" i="206" s="1"/>
  <c r="I58" i="206"/>
  <c r="T58" i="206" s="1"/>
  <c r="H58" i="206"/>
  <c r="Q58" i="206" s="1"/>
  <c r="G58" i="206"/>
  <c r="N58" i="206" s="1"/>
  <c r="I57" i="206"/>
  <c r="H57" i="206"/>
  <c r="G57" i="206"/>
  <c r="I56" i="206"/>
  <c r="H56" i="206"/>
  <c r="G56" i="206"/>
  <c r="I55" i="206"/>
  <c r="H55" i="206"/>
  <c r="G55" i="206"/>
  <c r="N55" i="206" s="1"/>
  <c r="I54" i="206"/>
  <c r="H54" i="206"/>
  <c r="G54" i="206"/>
  <c r="N54" i="206" s="1"/>
  <c r="I53" i="206"/>
  <c r="H53" i="206"/>
  <c r="G53" i="206"/>
  <c r="I52" i="206"/>
  <c r="H52" i="206"/>
  <c r="G52" i="206"/>
  <c r="I51" i="206"/>
  <c r="H51" i="206"/>
  <c r="G51" i="206"/>
  <c r="I50" i="206"/>
  <c r="T50" i="206" s="1"/>
  <c r="H50" i="206"/>
  <c r="Q50" i="206" s="1"/>
  <c r="G50" i="206"/>
  <c r="N50" i="206" s="1"/>
  <c r="I49" i="206"/>
  <c r="T49" i="206" s="1"/>
  <c r="H49" i="206"/>
  <c r="G49" i="206"/>
  <c r="I48" i="206"/>
  <c r="H48" i="206"/>
  <c r="G48" i="206"/>
  <c r="I47" i="206"/>
  <c r="H47" i="206"/>
  <c r="G47" i="206"/>
  <c r="I46" i="206"/>
  <c r="H46" i="206"/>
  <c r="G46" i="206"/>
  <c r="I45" i="206"/>
  <c r="H45" i="206"/>
  <c r="G45" i="206"/>
  <c r="I44" i="206"/>
  <c r="H44" i="206"/>
  <c r="G44" i="206"/>
  <c r="I43" i="206"/>
  <c r="H43" i="206"/>
  <c r="Q43" i="206" s="1"/>
  <c r="G43" i="206"/>
  <c r="I42" i="206"/>
  <c r="T42" i="206" s="1"/>
  <c r="H42" i="206"/>
  <c r="G42" i="206"/>
  <c r="N42" i="206" s="1"/>
  <c r="I41" i="206"/>
  <c r="H41" i="206"/>
  <c r="G41" i="206"/>
  <c r="I40" i="206"/>
  <c r="H40" i="206"/>
  <c r="G40" i="206"/>
  <c r="I39" i="206"/>
  <c r="H39" i="206"/>
  <c r="G39" i="206"/>
  <c r="I38" i="206"/>
  <c r="H38" i="206"/>
  <c r="G38" i="206"/>
  <c r="I37" i="206"/>
  <c r="H37" i="206"/>
  <c r="G37" i="206"/>
  <c r="N37" i="206" s="1"/>
  <c r="I36" i="206"/>
  <c r="H36" i="206"/>
  <c r="G36" i="206"/>
  <c r="I35" i="206"/>
  <c r="H35" i="206"/>
  <c r="Q35" i="206" s="1"/>
  <c r="G35" i="206"/>
  <c r="I34" i="206"/>
  <c r="T34" i="206" s="1"/>
  <c r="H34" i="206"/>
  <c r="G34" i="206"/>
  <c r="N34" i="206" s="1"/>
  <c r="I33" i="206"/>
  <c r="H33" i="206"/>
  <c r="G33" i="206"/>
  <c r="I32" i="206"/>
  <c r="H32" i="206"/>
  <c r="G32" i="206"/>
  <c r="I31" i="206"/>
  <c r="H31" i="206"/>
  <c r="G31" i="206"/>
  <c r="N31" i="206" s="1"/>
  <c r="O31" i="206" s="1"/>
  <c r="P31" i="206" s="1"/>
  <c r="I30" i="206"/>
  <c r="H30" i="206"/>
  <c r="G30" i="206"/>
  <c r="N30" i="206" s="1"/>
  <c r="I29" i="206"/>
  <c r="H29" i="206"/>
  <c r="G29" i="206"/>
  <c r="I28" i="206"/>
  <c r="H28" i="206"/>
  <c r="G28" i="206"/>
  <c r="I27" i="206"/>
  <c r="H27" i="206"/>
  <c r="G27" i="206"/>
  <c r="N27" i="206" s="1"/>
  <c r="O27" i="206" s="1"/>
  <c r="P27" i="206" s="1"/>
  <c r="I26" i="206"/>
  <c r="T26" i="206" s="1"/>
  <c r="H26" i="206"/>
  <c r="G26" i="206"/>
  <c r="N26" i="206" s="1"/>
  <c r="I25" i="206"/>
  <c r="H25" i="206"/>
  <c r="G25" i="206"/>
  <c r="I24" i="206"/>
  <c r="H24" i="206"/>
  <c r="G24" i="206"/>
  <c r="I23" i="206"/>
  <c r="H23" i="206"/>
  <c r="G23" i="206"/>
  <c r="I22" i="206"/>
  <c r="H22" i="206"/>
  <c r="G22" i="206"/>
  <c r="N22" i="206" s="1"/>
  <c r="I21" i="206"/>
  <c r="H21" i="206"/>
  <c r="G21" i="206"/>
  <c r="I20" i="206"/>
  <c r="H20" i="206"/>
  <c r="G20" i="206"/>
  <c r="I19" i="206"/>
  <c r="H19" i="206"/>
  <c r="Q19" i="206" s="1"/>
  <c r="G19" i="206"/>
  <c r="I18" i="206"/>
  <c r="T18" i="206" s="1"/>
  <c r="H18" i="206"/>
  <c r="G18" i="206"/>
  <c r="N18" i="206" s="1"/>
  <c r="I17" i="206"/>
  <c r="H17" i="206"/>
  <c r="G17" i="206"/>
  <c r="I16" i="206"/>
  <c r="H16" i="206"/>
  <c r="G16" i="206"/>
  <c r="I15" i="206"/>
  <c r="H15" i="206"/>
  <c r="Q15" i="206" s="1"/>
  <c r="G15" i="206"/>
  <c r="I14" i="206"/>
  <c r="H14" i="206"/>
  <c r="G14" i="206"/>
  <c r="I13" i="206"/>
  <c r="H13" i="206"/>
  <c r="G13" i="206"/>
  <c r="I12" i="206"/>
  <c r="H12" i="206"/>
  <c r="G12" i="206"/>
  <c r="I11" i="206"/>
  <c r="H11" i="206"/>
  <c r="Q11" i="206" s="1"/>
  <c r="G11" i="206"/>
  <c r="N11" i="206" s="1"/>
  <c r="O11" i="206" s="1"/>
  <c r="P11" i="206" s="1"/>
  <c r="I10" i="206"/>
  <c r="T10" i="206" s="1"/>
  <c r="H10" i="206"/>
  <c r="G10" i="206"/>
  <c r="N10" i="206" s="1"/>
  <c r="I9" i="206"/>
  <c r="H9" i="206"/>
  <c r="G9" i="206"/>
  <c r="I8" i="206"/>
  <c r="H8" i="206"/>
  <c r="G8" i="206"/>
  <c r="I7" i="206"/>
  <c r="H7" i="206"/>
  <c r="G7" i="206"/>
  <c r="I6" i="206"/>
  <c r="H6" i="206"/>
  <c r="G6" i="206"/>
  <c r="K5" i="206"/>
  <c r="F403" i="206"/>
  <c r="F402" i="206"/>
  <c r="F401" i="206"/>
  <c r="F383" i="206"/>
  <c r="F382" i="206"/>
  <c r="F381" i="206"/>
  <c r="F380" i="206"/>
  <c r="F379" i="206"/>
  <c r="F378" i="206"/>
  <c r="F377" i="206"/>
  <c r="F376" i="206"/>
  <c r="F375" i="206"/>
  <c r="F374" i="206"/>
  <c r="F373" i="206"/>
  <c r="F372" i="206"/>
  <c r="F371" i="206"/>
  <c r="F370" i="206"/>
  <c r="F369" i="206"/>
  <c r="F368" i="206"/>
  <c r="F367" i="206"/>
  <c r="F366" i="206"/>
  <c r="F365" i="206"/>
  <c r="F364" i="206"/>
  <c r="F363" i="206"/>
  <c r="F362" i="206"/>
  <c r="F361" i="206"/>
  <c r="F360" i="206"/>
  <c r="F359" i="206"/>
  <c r="F358" i="206"/>
  <c r="F357" i="206"/>
  <c r="F356" i="206"/>
  <c r="F355" i="206"/>
  <c r="F354" i="206"/>
  <c r="F353" i="206"/>
  <c r="F352" i="206"/>
  <c r="F351" i="206"/>
  <c r="F350" i="206"/>
  <c r="F349" i="206"/>
  <c r="F348" i="206"/>
  <c r="F347" i="206"/>
  <c r="F346" i="206"/>
  <c r="F345" i="206"/>
  <c r="F344" i="206"/>
  <c r="F343" i="206"/>
  <c r="F342" i="206"/>
  <c r="F341" i="206"/>
  <c r="F340" i="206"/>
  <c r="F339" i="206"/>
  <c r="F338" i="206"/>
  <c r="F337" i="206"/>
  <c r="F336" i="206"/>
  <c r="F335" i="206"/>
  <c r="F334" i="206"/>
  <c r="F333" i="206"/>
  <c r="F332" i="206"/>
  <c r="F331" i="206"/>
  <c r="F330" i="206"/>
  <c r="F329" i="206"/>
  <c r="F328" i="206"/>
  <c r="F327" i="206"/>
  <c r="F326" i="206"/>
  <c r="F325" i="206"/>
  <c r="F324" i="206"/>
  <c r="F323" i="206"/>
  <c r="F322" i="206"/>
  <c r="F321" i="206"/>
  <c r="F320" i="206"/>
  <c r="F319" i="206"/>
  <c r="F318" i="206"/>
  <c r="F317" i="206"/>
  <c r="F316" i="206"/>
  <c r="F315" i="206"/>
  <c r="F314" i="206"/>
  <c r="F313" i="206"/>
  <c r="F312" i="206"/>
  <c r="F311" i="206"/>
  <c r="F310" i="206"/>
  <c r="F309" i="206"/>
  <c r="F308" i="206"/>
  <c r="F307" i="206"/>
  <c r="F306" i="206"/>
  <c r="F305" i="206"/>
  <c r="F304" i="206"/>
  <c r="F303" i="206"/>
  <c r="F302" i="206"/>
  <c r="F301" i="206"/>
  <c r="F300" i="206"/>
  <c r="F299" i="206"/>
  <c r="F298" i="206"/>
  <c r="F297" i="206"/>
  <c r="F296" i="206"/>
  <c r="F295" i="206"/>
  <c r="F294" i="206"/>
  <c r="F293" i="206"/>
  <c r="F292" i="206"/>
  <c r="F291" i="206"/>
  <c r="F290" i="206"/>
  <c r="F289" i="206"/>
  <c r="F288" i="206"/>
  <c r="F287" i="206"/>
  <c r="F286" i="206"/>
  <c r="F285" i="206"/>
  <c r="F284" i="206"/>
  <c r="F283" i="206"/>
  <c r="F282" i="206"/>
  <c r="F281" i="206"/>
  <c r="F280" i="206"/>
  <c r="F279" i="206"/>
  <c r="F278" i="206"/>
  <c r="F277" i="206"/>
  <c r="F276" i="206"/>
  <c r="F275" i="206"/>
  <c r="F274" i="206"/>
  <c r="F273" i="206"/>
  <c r="F272" i="206"/>
  <c r="F271" i="206"/>
  <c r="F270" i="206"/>
  <c r="F269" i="206"/>
  <c r="F268" i="206"/>
  <c r="F267" i="206"/>
  <c r="F266" i="206"/>
  <c r="F265" i="206"/>
  <c r="F264" i="206"/>
  <c r="F263" i="206"/>
  <c r="F262" i="206"/>
  <c r="F261" i="206"/>
  <c r="F260" i="206"/>
  <c r="F259" i="206"/>
  <c r="F258" i="206"/>
  <c r="F257" i="206"/>
  <c r="F256" i="206"/>
  <c r="F255" i="206"/>
  <c r="F254" i="206"/>
  <c r="F253" i="206"/>
  <c r="F252" i="206"/>
  <c r="F251" i="206"/>
  <c r="F250" i="206"/>
  <c r="F249" i="206"/>
  <c r="F248" i="206"/>
  <c r="F247" i="206"/>
  <c r="F246" i="206"/>
  <c r="F245" i="206"/>
  <c r="F244" i="206"/>
  <c r="F243" i="206"/>
  <c r="F242" i="206"/>
  <c r="F241" i="206"/>
  <c r="F240" i="206"/>
  <c r="F239" i="206"/>
  <c r="F238" i="206"/>
  <c r="F237" i="206"/>
  <c r="F236" i="206"/>
  <c r="F235" i="206"/>
  <c r="F234" i="206"/>
  <c r="F233" i="206"/>
  <c r="F232" i="206"/>
  <c r="F231" i="206"/>
  <c r="F230" i="206"/>
  <c r="F229" i="206"/>
  <c r="F228" i="206"/>
  <c r="F227" i="206"/>
  <c r="F226" i="206"/>
  <c r="F225" i="206"/>
  <c r="F224" i="206"/>
  <c r="F223" i="206"/>
  <c r="F222" i="206"/>
  <c r="F221" i="206"/>
  <c r="F220" i="206"/>
  <c r="F219" i="206"/>
  <c r="F218" i="206"/>
  <c r="F217" i="206"/>
  <c r="F216" i="206"/>
  <c r="F215" i="206"/>
  <c r="F214" i="206"/>
  <c r="F213" i="206"/>
  <c r="F212" i="206"/>
  <c r="F211" i="206"/>
  <c r="F210" i="206"/>
  <c r="F209" i="206"/>
  <c r="F208" i="206"/>
  <c r="F207" i="206"/>
  <c r="F206" i="206"/>
  <c r="F205" i="206"/>
  <c r="F204" i="206"/>
  <c r="F203" i="206"/>
  <c r="F202" i="206"/>
  <c r="F201" i="206"/>
  <c r="F200" i="206"/>
  <c r="F199" i="206"/>
  <c r="F198" i="206"/>
  <c r="F197" i="206"/>
  <c r="F196" i="206"/>
  <c r="F195" i="206"/>
  <c r="F194" i="206"/>
  <c r="F193" i="206"/>
  <c r="F192" i="206"/>
  <c r="F191" i="206"/>
  <c r="F190" i="206"/>
  <c r="F189" i="206"/>
  <c r="F188" i="206"/>
  <c r="F187" i="206"/>
  <c r="F186" i="206"/>
  <c r="F185" i="206"/>
  <c r="F184" i="206"/>
  <c r="F183" i="206"/>
  <c r="F182" i="206"/>
  <c r="F181" i="206"/>
  <c r="F180" i="206"/>
  <c r="F179" i="206"/>
  <c r="F178" i="206"/>
  <c r="F177" i="206"/>
  <c r="F176" i="206"/>
  <c r="F175" i="206"/>
  <c r="F174" i="206"/>
  <c r="F173" i="206"/>
  <c r="F172" i="206"/>
  <c r="F171" i="206"/>
  <c r="F170" i="206"/>
  <c r="F169" i="206"/>
  <c r="F168" i="206"/>
  <c r="F167" i="206"/>
  <c r="F166" i="206"/>
  <c r="F165" i="206"/>
  <c r="F164" i="206"/>
  <c r="F163" i="206"/>
  <c r="F162" i="206"/>
  <c r="F161" i="206"/>
  <c r="F160" i="206"/>
  <c r="F159" i="206"/>
  <c r="F158" i="206"/>
  <c r="F157" i="206"/>
  <c r="F156" i="206"/>
  <c r="F155" i="206"/>
  <c r="F154" i="206"/>
  <c r="F153" i="206"/>
  <c r="F152" i="206"/>
  <c r="F151" i="206"/>
  <c r="F150" i="206"/>
  <c r="F149" i="206"/>
  <c r="F148" i="206"/>
  <c r="F147" i="206"/>
  <c r="F146" i="206"/>
  <c r="F145" i="206"/>
  <c r="F144" i="206"/>
  <c r="F143" i="206"/>
  <c r="F142" i="206"/>
  <c r="F141" i="206"/>
  <c r="F140" i="206"/>
  <c r="F139" i="206"/>
  <c r="F138" i="206"/>
  <c r="F137" i="206"/>
  <c r="F136" i="206"/>
  <c r="F135" i="206"/>
  <c r="F134" i="206"/>
  <c r="F133" i="206"/>
  <c r="F132" i="206"/>
  <c r="F131" i="206"/>
  <c r="F130" i="206"/>
  <c r="F129" i="206"/>
  <c r="F128" i="206"/>
  <c r="F127" i="206"/>
  <c r="F126" i="206"/>
  <c r="F125" i="206"/>
  <c r="F124" i="206"/>
  <c r="F123" i="206"/>
  <c r="F122" i="206"/>
  <c r="F121" i="206"/>
  <c r="F120" i="206"/>
  <c r="F119" i="206"/>
  <c r="F118" i="206"/>
  <c r="F117" i="206"/>
  <c r="F116" i="206"/>
  <c r="F115" i="206"/>
  <c r="F114" i="206"/>
  <c r="F113" i="206"/>
  <c r="F112" i="206"/>
  <c r="F111" i="206"/>
  <c r="F110" i="206"/>
  <c r="F109" i="206"/>
  <c r="F108" i="206"/>
  <c r="F107" i="206"/>
  <c r="F106" i="206"/>
  <c r="F105" i="206"/>
  <c r="F104" i="206"/>
  <c r="F103" i="206"/>
  <c r="F102" i="206"/>
  <c r="F101" i="206"/>
  <c r="F100" i="206"/>
  <c r="F99" i="206"/>
  <c r="F98" i="206"/>
  <c r="F97" i="206"/>
  <c r="F96" i="206"/>
  <c r="F95" i="206"/>
  <c r="F94" i="206"/>
  <c r="F93" i="206"/>
  <c r="F92" i="206"/>
  <c r="F91" i="206"/>
  <c r="F90" i="206"/>
  <c r="F89" i="206"/>
  <c r="F88" i="206"/>
  <c r="F87" i="206"/>
  <c r="F86" i="206"/>
  <c r="F85" i="206"/>
  <c r="F84" i="206"/>
  <c r="F83" i="206"/>
  <c r="F82" i="206"/>
  <c r="F81" i="206"/>
  <c r="F80" i="206"/>
  <c r="F79" i="206"/>
  <c r="F78" i="206"/>
  <c r="F77" i="206"/>
  <c r="F76" i="206"/>
  <c r="F75" i="206"/>
  <c r="F74" i="206"/>
  <c r="F73" i="206"/>
  <c r="F72" i="206"/>
  <c r="F71" i="206"/>
  <c r="F70" i="206"/>
  <c r="F69" i="206"/>
  <c r="F68" i="206"/>
  <c r="F67" i="206"/>
  <c r="F66" i="206"/>
  <c r="F65" i="206"/>
  <c r="F64" i="206"/>
  <c r="F63" i="206"/>
  <c r="F62" i="206"/>
  <c r="F61" i="206"/>
  <c r="F60" i="206"/>
  <c r="F59" i="206"/>
  <c r="F58" i="206"/>
  <c r="F57" i="206"/>
  <c r="F56" i="206"/>
  <c r="F55" i="206"/>
  <c r="F54" i="206"/>
  <c r="F53" i="206"/>
  <c r="F52" i="206"/>
  <c r="F51" i="206"/>
  <c r="F50" i="206"/>
  <c r="F49" i="206"/>
  <c r="F48" i="206"/>
  <c r="F47" i="206"/>
  <c r="F46" i="206"/>
  <c r="F45" i="206"/>
  <c r="F44" i="206"/>
  <c r="F43" i="206"/>
  <c r="F42" i="206"/>
  <c r="F41" i="206"/>
  <c r="F40" i="206"/>
  <c r="F39" i="206"/>
  <c r="F38" i="206"/>
  <c r="F37" i="206"/>
  <c r="F36" i="206"/>
  <c r="F35" i="206"/>
  <c r="F34" i="206"/>
  <c r="F33" i="206"/>
  <c r="F32" i="206"/>
  <c r="F31" i="206"/>
  <c r="F30" i="206"/>
  <c r="F29" i="206"/>
  <c r="F28" i="206"/>
  <c r="F27" i="206"/>
  <c r="F26" i="206"/>
  <c r="F25" i="206"/>
  <c r="F24" i="206"/>
  <c r="F23" i="206"/>
  <c r="F22" i="206"/>
  <c r="F21" i="206"/>
  <c r="F20" i="206"/>
  <c r="F19" i="206"/>
  <c r="F18" i="206"/>
  <c r="F17" i="206"/>
  <c r="F16" i="206"/>
  <c r="F15" i="206"/>
  <c r="F14" i="206"/>
  <c r="F13" i="206"/>
  <c r="F12" i="206"/>
  <c r="F11" i="206"/>
  <c r="F10" i="206"/>
  <c r="F9" i="206"/>
  <c r="F8" i="206"/>
  <c r="F7" i="206"/>
  <c r="F6" i="206"/>
  <c r="F5" i="206"/>
  <c r="N99" i="206" l="1"/>
  <c r="N303" i="206"/>
  <c r="N327" i="206"/>
  <c r="N351" i="206"/>
  <c r="Q27" i="206"/>
  <c r="Q51" i="206"/>
  <c r="Q267" i="206"/>
  <c r="Q303" i="206"/>
  <c r="Q351" i="206"/>
  <c r="T295" i="206"/>
  <c r="T303" i="206"/>
  <c r="T319" i="206"/>
  <c r="T351" i="206"/>
  <c r="T375" i="206"/>
  <c r="N152" i="206"/>
  <c r="N172" i="206"/>
  <c r="N176" i="206"/>
  <c r="N272" i="206"/>
  <c r="N280" i="206"/>
  <c r="N296" i="206"/>
  <c r="N304" i="206"/>
  <c r="N328" i="206"/>
  <c r="N344" i="206"/>
  <c r="N368" i="206"/>
  <c r="N376" i="206"/>
  <c r="Q20" i="206"/>
  <c r="Q140" i="206"/>
  <c r="Q160" i="206"/>
  <c r="Q176" i="206"/>
  <c r="Q272" i="206"/>
  <c r="Q280" i="206"/>
  <c r="Q296" i="206"/>
  <c r="Q304" i="206"/>
  <c r="Q320" i="206"/>
  <c r="Q327" i="206"/>
  <c r="T327" i="206"/>
  <c r="T367" i="206"/>
  <c r="N140" i="206"/>
  <c r="T140" i="206"/>
  <c r="T152" i="206"/>
  <c r="T160" i="206"/>
  <c r="T176" i="206"/>
  <c r="T280" i="206"/>
  <c r="T296" i="206"/>
  <c r="T304" i="206"/>
  <c r="T328" i="206"/>
  <c r="T352" i="206"/>
  <c r="T368" i="206"/>
  <c r="T376" i="206"/>
  <c r="Q183" i="206"/>
  <c r="N148" i="206"/>
  <c r="N129" i="206"/>
  <c r="N137" i="206"/>
  <c r="N153" i="206"/>
  <c r="N177" i="206"/>
  <c r="N201" i="206"/>
  <c r="N297" i="206"/>
  <c r="N305" i="206"/>
  <c r="N321" i="206"/>
  <c r="N329" i="206"/>
  <c r="N353" i="206"/>
  <c r="N369" i="206"/>
  <c r="N377" i="206"/>
  <c r="Q279" i="206"/>
  <c r="N16" i="206"/>
  <c r="N128" i="206"/>
  <c r="N332" i="206"/>
  <c r="Q89" i="206"/>
  <c r="Q105" i="206"/>
  <c r="Q113" i="206"/>
  <c r="Q129" i="206"/>
  <c r="Q137" i="206"/>
  <c r="Q153" i="206"/>
  <c r="Q161" i="206"/>
  <c r="Q185" i="206"/>
  <c r="Q201" i="206"/>
  <c r="Q209" i="206"/>
  <c r="Q273" i="206"/>
  <c r="Q281" i="206"/>
  <c r="Q297" i="206"/>
  <c r="Q305" i="206"/>
  <c r="Q321" i="206"/>
  <c r="Q329" i="206"/>
  <c r="Q353" i="206"/>
  <c r="Q369" i="206"/>
  <c r="Q377" i="206"/>
  <c r="Q195" i="206"/>
  <c r="T89" i="206"/>
  <c r="T105" i="206"/>
  <c r="T113" i="206"/>
  <c r="T129" i="206"/>
  <c r="T137" i="206"/>
  <c r="T153" i="206"/>
  <c r="T273" i="206"/>
  <c r="T281" i="206"/>
  <c r="T297" i="206"/>
  <c r="T305" i="206"/>
  <c r="T321" i="206"/>
  <c r="T329" i="206"/>
  <c r="T353" i="206"/>
  <c r="T369" i="206"/>
  <c r="T377" i="206"/>
  <c r="N270" i="206"/>
  <c r="N294" i="206"/>
  <c r="N310" i="206"/>
  <c r="N374" i="206"/>
  <c r="N85" i="206"/>
  <c r="N141" i="206"/>
  <c r="T189" i="206"/>
  <c r="Q93" i="206"/>
  <c r="Q299" i="206"/>
  <c r="N25" i="206"/>
  <c r="N89" i="206"/>
  <c r="N105" i="206"/>
  <c r="N113" i="206"/>
  <c r="T115" i="206"/>
  <c r="N121" i="206"/>
  <c r="N145" i="206"/>
  <c r="N161" i="206"/>
  <c r="T171" i="206"/>
  <c r="Q270" i="206"/>
  <c r="Q334" i="206"/>
  <c r="T161" i="206"/>
  <c r="N21" i="206"/>
  <c r="N93" i="206"/>
  <c r="N101" i="206"/>
  <c r="N165" i="206"/>
  <c r="N285" i="206"/>
  <c r="N373" i="206"/>
  <c r="Q213" i="206"/>
  <c r="N51" i="206"/>
  <c r="T69" i="206"/>
  <c r="N75" i="206"/>
  <c r="N115" i="206"/>
  <c r="N123" i="206"/>
  <c r="N147" i="206"/>
  <c r="N187" i="206"/>
  <c r="N243" i="206"/>
  <c r="N283" i="206"/>
  <c r="T52" i="206"/>
  <c r="T195" i="206"/>
  <c r="T75" i="206"/>
  <c r="T179" i="206"/>
  <c r="T35" i="206"/>
  <c r="T43" i="206"/>
  <c r="T163" i="206"/>
  <c r="T187" i="206"/>
  <c r="T67" i="206"/>
  <c r="T155" i="206"/>
  <c r="N43" i="206"/>
  <c r="N67" i="206"/>
  <c r="N131" i="206"/>
  <c r="N163" i="206"/>
  <c r="N203" i="206"/>
  <c r="N259" i="206"/>
  <c r="N267" i="206"/>
  <c r="N299" i="206"/>
  <c r="N190" i="206"/>
  <c r="N198" i="206"/>
  <c r="N206" i="206"/>
  <c r="N222" i="206"/>
  <c r="N230" i="206"/>
  <c r="N238" i="206"/>
  <c r="N246" i="206"/>
  <c r="N278" i="206"/>
  <c r="N286" i="206"/>
  <c r="N318" i="206"/>
  <c r="N350" i="206"/>
  <c r="N366" i="206"/>
  <c r="N381" i="206"/>
  <c r="N52" i="206"/>
  <c r="N76" i="206"/>
  <c r="Q52" i="206"/>
  <c r="N378" i="206"/>
  <c r="N100" i="206"/>
  <c r="Q100" i="206"/>
  <c r="T37" i="206"/>
  <c r="T45" i="206"/>
  <c r="T53" i="206"/>
  <c r="T77" i="206"/>
  <c r="T100" i="206"/>
  <c r="T132" i="206"/>
  <c r="T148" i="206"/>
  <c r="Q198" i="206"/>
  <c r="Q206" i="206"/>
  <c r="Q214" i="206"/>
  <c r="Q222" i="206"/>
  <c r="Q230" i="206"/>
  <c r="Q246" i="206"/>
  <c r="Q278" i="206"/>
  <c r="Q286" i="206"/>
  <c r="Q294" i="206"/>
  <c r="Q302" i="206"/>
  <c r="Q310" i="206"/>
  <c r="Q318" i="206"/>
  <c r="Q326" i="206"/>
  <c r="N62" i="206"/>
  <c r="N109" i="206"/>
  <c r="N117" i="206"/>
  <c r="N125" i="206"/>
  <c r="N133" i="206"/>
  <c r="N156" i="206"/>
  <c r="N164" i="206"/>
  <c r="N180" i="206"/>
  <c r="T190" i="206"/>
  <c r="T198" i="206"/>
  <c r="T206" i="206"/>
  <c r="T222" i="206"/>
  <c r="T286" i="206"/>
  <c r="T294" i="206"/>
  <c r="T302" i="206"/>
  <c r="T310" i="206"/>
  <c r="T318" i="206"/>
  <c r="T326" i="206"/>
  <c r="T366" i="206"/>
  <c r="T381" i="206"/>
  <c r="Q6" i="206"/>
  <c r="Q54" i="206"/>
  <c r="Q62" i="206"/>
  <c r="Q70" i="206"/>
  <c r="Q78" i="206"/>
  <c r="Q85" i="206"/>
  <c r="Q101" i="206"/>
  <c r="Q109" i="206"/>
  <c r="Q117" i="206"/>
  <c r="Q125" i="206"/>
  <c r="Q133" i="206"/>
  <c r="Q141" i="206"/>
  <c r="Q156" i="206"/>
  <c r="Q164" i="206"/>
  <c r="Q172" i="206"/>
  <c r="Q180" i="206"/>
  <c r="N14" i="206"/>
  <c r="T70" i="206"/>
  <c r="T164" i="206"/>
  <c r="T172" i="206"/>
  <c r="T180" i="206"/>
  <c r="N6" i="206"/>
  <c r="N7" i="206"/>
  <c r="N39" i="206"/>
  <c r="N63" i="206"/>
  <c r="N79" i="206"/>
  <c r="N86" i="206"/>
  <c r="N94" i="206"/>
  <c r="N149" i="206"/>
  <c r="N157" i="206"/>
  <c r="N173" i="206"/>
  <c r="Q7" i="206"/>
  <c r="Q23" i="206"/>
  <c r="Q31" i="206"/>
  <c r="Q39" i="206"/>
  <c r="Q47" i="206"/>
  <c r="Q55" i="206"/>
  <c r="Q63" i="206"/>
  <c r="Q71" i="206"/>
  <c r="Q94" i="206"/>
  <c r="Q110" i="206"/>
  <c r="Q118" i="206"/>
  <c r="Q134" i="206"/>
  <c r="Q142" i="206"/>
  <c r="Q149" i="206"/>
  <c r="Q157" i="206"/>
  <c r="Q165" i="206"/>
  <c r="Q173" i="206"/>
  <c r="Q188" i="206"/>
  <c r="T31" i="206"/>
  <c r="T39" i="206"/>
  <c r="T47" i="206"/>
  <c r="T55" i="206"/>
  <c r="T79" i="206"/>
  <c r="T94" i="206"/>
  <c r="T126" i="206"/>
  <c r="T134" i="206"/>
  <c r="T157" i="206"/>
  <c r="T165" i="206"/>
  <c r="T173" i="206"/>
  <c r="T188" i="206"/>
  <c r="N143" i="206"/>
  <c r="N166" i="206"/>
  <c r="N212" i="206"/>
  <c r="N228" i="206"/>
  <c r="N252" i="206"/>
  <c r="N276" i="206"/>
  <c r="N308" i="206"/>
  <c r="N316" i="206"/>
  <c r="N324" i="206"/>
  <c r="N379" i="206"/>
  <c r="N135" i="206"/>
  <c r="Q316" i="206"/>
  <c r="N8" i="206"/>
  <c r="T276" i="206"/>
  <c r="T300" i="206"/>
  <c r="T316" i="206"/>
  <c r="N81" i="206"/>
  <c r="N104" i="206"/>
  <c r="N136" i="206"/>
  <c r="N151" i="206"/>
  <c r="N159" i="206"/>
  <c r="N175" i="206"/>
  <c r="N182" i="206"/>
  <c r="N197" i="206"/>
  <c r="N213" i="206"/>
  <c r="N245" i="206"/>
  <c r="N253" i="206"/>
  <c r="N261" i="206"/>
  <c r="N301" i="206"/>
  <c r="N325" i="206"/>
  <c r="N341" i="206"/>
  <c r="N357" i="206"/>
  <c r="N365" i="206"/>
  <c r="Q9" i="206"/>
  <c r="Q17" i="206"/>
  <c r="Q25" i="206"/>
  <c r="Q33" i="206"/>
  <c r="Q41" i="206"/>
  <c r="Q49" i="206"/>
  <c r="Q57" i="206"/>
  <c r="Q65" i="206"/>
  <c r="Q73" i="206"/>
  <c r="Q81" i="206"/>
  <c r="Q88" i="206"/>
  <c r="Q96" i="206"/>
  <c r="Q104" i="206"/>
  <c r="Q128" i="206"/>
  <c r="Q136" i="206"/>
  <c r="Q144" i="206"/>
  <c r="Q151" i="206"/>
  <c r="Q159" i="206"/>
  <c r="Q167" i="206"/>
  <c r="Q175" i="206"/>
  <c r="Q189" i="206"/>
  <c r="Q245" i="206"/>
  <c r="Q253" i="206"/>
  <c r="Q261" i="206"/>
  <c r="Q349" i="206"/>
  <c r="Q357" i="206"/>
  <c r="Q365" i="206"/>
  <c r="T33" i="206"/>
  <c r="T41" i="206"/>
  <c r="T81" i="206"/>
  <c r="T128" i="206"/>
  <c r="T136" i="206"/>
  <c r="T144" i="206"/>
  <c r="T151" i="206"/>
  <c r="T159" i="206"/>
  <c r="T167" i="206"/>
  <c r="T175" i="206"/>
  <c r="T197" i="206"/>
  <c r="T213" i="206"/>
  <c r="T285" i="206"/>
  <c r="T349" i="206"/>
  <c r="T357" i="206"/>
  <c r="T365" i="206"/>
  <c r="T373" i="206"/>
  <c r="N48" i="206"/>
  <c r="N56" i="206"/>
  <c r="N64" i="206"/>
  <c r="N72" i="206"/>
  <c r="N80" i="206"/>
  <c r="N87" i="206"/>
  <c r="N95" i="206"/>
  <c r="N111" i="206"/>
  <c r="N119" i="206"/>
  <c r="N150" i="206"/>
  <c r="N158" i="206"/>
  <c r="N174" i="206"/>
  <c r="N181" i="206"/>
  <c r="N196" i="206"/>
  <c r="N204" i="206"/>
  <c r="N236" i="206"/>
  <c r="N244" i="206"/>
  <c r="N268" i="206"/>
  <c r="N275" i="206"/>
  <c r="N291" i="206"/>
  <c r="N315" i="206"/>
  <c r="N331" i="206"/>
  <c r="N371" i="206"/>
  <c r="Q8" i="206"/>
  <c r="Q56" i="206"/>
  <c r="Q64" i="206"/>
  <c r="Q72" i="206"/>
  <c r="Q80" i="206"/>
  <c r="Q87" i="206"/>
  <c r="Q95" i="206"/>
  <c r="Q103" i="206"/>
  <c r="Q111" i="206"/>
  <c r="Q119" i="206"/>
  <c r="Q127" i="206"/>
  <c r="Q135" i="206"/>
  <c r="Q150" i="206"/>
  <c r="Q158" i="206"/>
  <c r="Q166" i="206"/>
  <c r="Q174" i="206"/>
  <c r="Q181" i="206"/>
  <c r="Q196" i="206"/>
  <c r="Q204" i="206"/>
  <c r="Q212" i="206"/>
  <c r="Q220" i="206"/>
  <c r="Q228" i="206"/>
  <c r="Q244" i="206"/>
  <c r="Q252" i="206"/>
  <c r="Q260" i="206"/>
  <c r="Q275" i="206"/>
  <c r="Q291" i="206"/>
  <c r="Q307" i="206"/>
  <c r="Q315" i="206"/>
  <c r="Q323" i="206"/>
  <c r="Q331" i="206"/>
  <c r="Q339" i="206"/>
  <c r="Q347" i="206"/>
  <c r="Q355" i="206"/>
  <c r="Q363" i="206"/>
  <c r="Q371" i="206"/>
  <c r="T8" i="206"/>
  <c r="T16" i="206"/>
  <c r="T24" i="206"/>
  <c r="T32" i="206"/>
  <c r="T40" i="206"/>
  <c r="T48" i="206"/>
  <c r="T56" i="206"/>
  <c r="T64" i="206"/>
  <c r="T72" i="206"/>
  <c r="T80" i="206"/>
  <c r="T87" i="206"/>
  <c r="T95" i="206"/>
  <c r="T103" i="206"/>
  <c r="T111" i="206"/>
  <c r="T119" i="206"/>
  <c r="T127" i="206"/>
  <c r="T135" i="206"/>
  <c r="T150" i="206"/>
  <c r="T158" i="206"/>
  <c r="T166" i="206"/>
  <c r="T174" i="206"/>
  <c r="T181" i="206"/>
  <c r="T196" i="206"/>
  <c r="T204" i="206"/>
  <c r="T212" i="206"/>
  <c r="T252" i="206"/>
  <c r="T275" i="206"/>
  <c r="T291" i="206"/>
  <c r="T299" i="206"/>
  <c r="T315" i="206"/>
  <c r="T371" i="206"/>
  <c r="T6" i="206"/>
  <c r="N12" i="206"/>
  <c r="T14" i="206"/>
  <c r="N20" i="206"/>
  <c r="T22" i="206"/>
  <c r="T30" i="206"/>
  <c r="T38" i="206"/>
  <c r="T46" i="206"/>
  <c r="T54" i="206"/>
  <c r="N60" i="206"/>
  <c r="T62" i="206"/>
  <c r="N68" i="206"/>
  <c r="T78" i="206"/>
  <c r="T85" i="206"/>
  <c r="N91" i="206"/>
  <c r="T93" i="206"/>
  <c r="T101" i="206"/>
  <c r="N107" i="206"/>
  <c r="T109" i="206"/>
  <c r="T117" i="206"/>
  <c r="T125" i="206"/>
  <c r="T133" i="206"/>
  <c r="T141" i="206"/>
  <c r="N154" i="206"/>
  <c r="T156" i="206"/>
  <c r="N162" i="206"/>
  <c r="N192" i="206"/>
  <c r="N200" i="206"/>
  <c r="N208" i="206"/>
  <c r="N224" i="206"/>
  <c r="N232" i="206"/>
  <c r="N240" i="206"/>
  <c r="Q276" i="206"/>
  <c r="Q284" i="206"/>
  <c r="Q292" i="206"/>
  <c r="Q300" i="206"/>
  <c r="Q308" i="206"/>
  <c r="Q324" i="206"/>
  <c r="Q332" i="206"/>
  <c r="T331" i="206"/>
  <c r="T363" i="206"/>
  <c r="N292" i="206"/>
  <c r="Q12" i="206"/>
  <c r="Q60" i="206"/>
  <c r="Q68" i="206"/>
  <c r="Q76" i="206"/>
  <c r="Q84" i="206"/>
  <c r="Q91" i="206"/>
  <c r="Q99" i="206"/>
  <c r="Q107" i="206"/>
  <c r="Q115" i="206"/>
  <c r="Q123" i="206"/>
  <c r="Q131" i="206"/>
  <c r="Q147" i="206"/>
  <c r="Q154" i="206"/>
  <c r="Q162" i="206"/>
  <c r="Q200" i="206"/>
  <c r="Q208" i="206"/>
  <c r="Q216" i="206"/>
  <c r="Q224" i="206"/>
  <c r="Q232" i="206"/>
  <c r="Q264" i="206"/>
  <c r="T284" i="206"/>
  <c r="T292" i="206"/>
  <c r="T308" i="206"/>
  <c r="T324" i="206"/>
  <c r="T340" i="206"/>
  <c r="T348" i="206"/>
  <c r="T28" i="206"/>
  <c r="T60" i="206"/>
  <c r="T99" i="206"/>
  <c r="T107" i="206"/>
  <c r="T123" i="206"/>
  <c r="T131" i="206"/>
  <c r="T139" i="206"/>
  <c r="T147" i="206"/>
  <c r="T162" i="206"/>
  <c r="T192" i="206"/>
  <c r="T200" i="206"/>
  <c r="T208" i="206"/>
  <c r="N277" i="206"/>
  <c r="N293" i="206"/>
  <c r="N309" i="206"/>
  <c r="N317" i="206"/>
  <c r="N333" i="206"/>
  <c r="Q169" i="206"/>
  <c r="Q184" i="206"/>
  <c r="Q247" i="206"/>
  <c r="T323" i="206"/>
  <c r="T339" i="206"/>
  <c r="T169" i="206"/>
  <c r="T184" i="206"/>
  <c r="T20" i="206"/>
  <c r="T36" i="206"/>
  <c r="T44" i="206"/>
  <c r="T68" i="206"/>
  <c r="T76" i="206"/>
  <c r="T84" i="206"/>
  <c r="T91" i="206"/>
  <c r="N77" i="206"/>
  <c r="N155" i="206"/>
  <c r="N171" i="206"/>
  <c r="N179" i="206"/>
  <c r="N209" i="206"/>
  <c r="N249" i="206"/>
  <c r="Q277" i="206"/>
  <c r="Q285" i="206"/>
  <c r="Q293" i="206"/>
  <c r="Q301" i="206"/>
  <c r="Q309" i="206"/>
  <c r="Q317" i="206"/>
  <c r="Q325" i="206"/>
  <c r="Q333" i="206"/>
  <c r="Q341" i="206"/>
  <c r="Q177" i="206"/>
  <c r="Q255" i="206"/>
  <c r="T307" i="206"/>
  <c r="T347" i="206"/>
  <c r="T355" i="206"/>
  <c r="T378" i="206"/>
  <c r="T177" i="206"/>
  <c r="N284" i="206"/>
  <c r="T12" i="206"/>
  <c r="Q13" i="206"/>
  <c r="Q21" i="206"/>
  <c r="Q29" i="206"/>
  <c r="Q37" i="206"/>
  <c r="Q45" i="206"/>
  <c r="Q77" i="206"/>
  <c r="Q132" i="206"/>
  <c r="Q148" i="206"/>
  <c r="Q155" i="206"/>
  <c r="Q163" i="206"/>
  <c r="Q171" i="206"/>
  <c r="Q179" i="206"/>
  <c r="Q186" i="206"/>
  <c r="Q193" i="206"/>
  <c r="Q249" i="206"/>
  <c r="Q257" i="206"/>
  <c r="T277" i="206"/>
  <c r="T293" i="206"/>
  <c r="T301" i="206"/>
  <c r="N307" i="206"/>
  <c r="T309" i="206"/>
  <c r="T317" i="206"/>
  <c r="N323" i="206"/>
  <c r="T325" i="206"/>
  <c r="T333" i="206"/>
  <c r="N339" i="206"/>
  <c r="T341" i="206"/>
  <c r="N347" i="206"/>
  <c r="N355" i="206"/>
  <c r="N363" i="206"/>
  <c r="Q10" i="206"/>
  <c r="Q143" i="206"/>
  <c r="N199" i="206"/>
  <c r="Q283" i="206"/>
  <c r="T320" i="206"/>
  <c r="Q18" i="206"/>
  <c r="T51" i="206"/>
  <c r="T143" i="206"/>
  <c r="Q191" i="206"/>
  <c r="T283" i="206"/>
  <c r="T191" i="206"/>
  <c r="N269" i="206"/>
  <c r="Q313" i="206"/>
  <c r="T342" i="206"/>
  <c r="Q53" i="206"/>
  <c r="T249" i="206"/>
  <c r="N185" i="206"/>
  <c r="Q269" i="206"/>
  <c r="T313" i="206"/>
  <c r="N290" i="206"/>
  <c r="Q335" i="206"/>
  <c r="T372" i="206"/>
  <c r="T185" i="206"/>
  <c r="Q290" i="206"/>
  <c r="Q298" i="206"/>
  <c r="T335" i="206"/>
  <c r="N349" i="206"/>
  <c r="T149" i="206"/>
  <c r="T290" i="206"/>
  <c r="T298" i="206"/>
  <c r="N320" i="206"/>
  <c r="N57" i="206"/>
  <c r="N15" i="206"/>
  <c r="T21" i="206"/>
  <c r="N23" i="206"/>
  <c r="N41" i="206"/>
  <c r="N45" i="206"/>
  <c r="Q48" i="206"/>
  <c r="T230" i="206"/>
  <c r="Q26" i="206"/>
  <c r="Q32" i="206"/>
  <c r="N65" i="206"/>
  <c r="Q69" i="206"/>
  <c r="N73" i="206"/>
  <c r="Q75" i="206"/>
  <c r="N83" i="206"/>
  <c r="Q112" i="206"/>
  <c r="Q375" i="206"/>
  <c r="T11" i="206"/>
  <c r="Q16" i="206"/>
  <c r="N19" i="206"/>
  <c r="Q24" i="206"/>
  <c r="Q28" i="206"/>
  <c r="T63" i="206"/>
  <c r="T71" i="206"/>
  <c r="Q79" i="206"/>
  <c r="T245" i="206"/>
  <c r="T263" i="206"/>
  <c r="N13" i="206"/>
  <c r="N33" i="206"/>
  <c r="N35" i="206"/>
  <c r="Q42" i="206"/>
  <c r="Q46" i="206"/>
  <c r="T7" i="206"/>
  <c r="T25" i="206"/>
  <c r="N29" i="206"/>
  <c r="T259" i="206"/>
  <c r="N404" i="206"/>
  <c r="N9" i="206"/>
  <c r="Q14" i="206"/>
  <c r="N17" i="206"/>
  <c r="Q22" i="206"/>
  <c r="T27" i="206"/>
  <c r="N47" i="206"/>
  <c r="N49" i="206"/>
  <c r="T59" i="206"/>
  <c r="Q61" i="206"/>
  <c r="Q86" i="206"/>
  <c r="Q30" i="206"/>
  <c r="Q34" i="206"/>
  <c r="Q36" i="206"/>
  <c r="Q38" i="206"/>
  <c r="Q40" i="206"/>
  <c r="Q44" i="206"/>
  <c r="Q192" i="206"/>
  <c r="T238" i="206"/>
  <c r="T255" i="206"/>
  <c r="T269" i="206"/>
  <c r="T272" i="206"/>
  <c r="Q368" i="206"/>
  <c r="Q194" i="206"/>
  <c r="T224" i="206"/>
  <c r="N334" i="206"/>
  <c r="N326" i="206"/>
  <c r="Q366" i="206"/>
  <c r="T383" i="206"/>
  <c r="N191" i="206"/>
  <c r="T234" i="206"/>
  <c r="T261" i="206"/>
  <c r="Q376" i="206"/>
  <c r="Q378" i="206"/>
  <c r="Q120" i="206"/>
  <c r="N193" i="206"/>
  <c r="Q374" i="206"/>
  <c r="N189" i="206"/>
  <c r="T240" i="206"/>
  <c r="N186" i="206"/>
  <c r="N188" i="206"/>
  <c r="N195" i="206"/>
  <c r="Q203" i="206"/>
  <c r="T226" i="206"/>
  <c r="T228" i="206"/>
  <c r="T232" i="206"/>
  <c r="T236" i="206"/>
  <c r="T247" i="206"/>
  <c r="T251" i="206"/>
  <c r="T253" i="206"/>
  <c r="T257" i="206"/>
  <c r="T265" i="206"/>
  <c r="Q373" i="206"/>
  <c r="Q190" i="206"/>
  <c r="T199" i="206"/>
  <c r="T242" i="206"/>
  <c r="T267" i="206"/>
  <c r="Q338" i="206"/>
  <c r="Q340" i="206"/>
  <c r="Q342" i="206"/>
  <c r="Q379" i="206"/>
  <c r="Q381" i="206"/>
  <c r="N406" i="206"/>
  <c r="T61" i="206"/>
  <c r="N24" i="206"/>
  <c r="N28" i="206"/>
  <c r="N32" i="206"/>
  <c r="N36" i="206"/>
  <c r="N38" i="206"/>
  <c r="N40" i="206"/>
  <c r="N44" i="206"/>
  <c r="N46" i="206"/>
  <c r="T90" i="206"/>
  <c r="T106" i="206"/>
  <c r="N112" i="206"/>
  <c r="T112" i="206"/>
  <c r="N53" i="206"/>
  <c r="N61" i="206"/>
  <c r="N69" i="206"/>
  <c r="N96" i="206"/>
  <c r="T96" i="206"/>
  <c r="Q106" i="206"/>
  <c r="N114" i="206"/>
  <c r="T114" i="206"/>
  <c r="N122" i="206"/>
  <c r="T122" i="206"/>
  <c r="T83" i="206"/>
  <c r="T9" i="206"/>
  <c r="T13" i="206"/>
  <c r="T15" i="206"/>
  <c r="T17" i="206"/>
  <c r="T19" i="206"/>
  <c r="T23" i="206"/>
  <c r="T29" i="206"/>
  <c r="T57" i="206"/>
  <c r="T65" i="206"/>
  <c r="T73" i="206"/>
  <c r="Q83" i="206"/>
  <c r="N102" i="206"/>
  <c r="T102" i="206"/>
  <c r="N108" i="206"/>
  <c r="T108" i="206"/>
  <c r="T88" i="206"/>
  <c r="N92" i="206"/>
  <c r="T92" i="206"/>
  <c r="T98" i="206"/>
  <c r="Q102" i="206"/>
  <c r="N116" i="206"/>
  <c r="T116" i="206"/>
  <c r="N124" i="206"/>
  <c r="T124" i="206"/>
  <c r="Q231" i="206"/>
  <c r="N231" i="206"/>
  <c r="T231" i="206"/>
  <c r="Q235" i="206"/>
  <c r="N235" i="206"/>
  <c r="T235" i="206"/>
  <c r="N120" i="206"/>
  <c r="T120" i="206"/>
  <c r="N88" i="206"/>
  <c r="Q92" i="206"/>
  <c r="T104" i="206"/>
  <c r="T110" i="206"/>
  <c r="Q116" i="206"/>
  <c r="Q124" i="206"/>
  <c r="T86" i="206"/>
  <c r="N118" i="206"/>
  <c r="T118" i="206"/>
  <c r="Q126" i="206"/>
  <c r="N126" i="206"/>
  <c r="Q207" i="206"/>
  <c r="T207" i="206"/>
  <c r="N207" i="206"/>
  <c r="Q364" i="206"/>
  <c r="N364" i="206"/>
  <c r="T364" i="206"/>
  <c r="Q229" i="206"/>
  <c r="N229" i="206"/>
  <c r="T229" i="206"/>
  <c r="Q197" i="206"/>
  <c r="Q205" i="206"/>
  <c r="T205" i="206"/>
  <c r="N205" i="206"/>
  <c r="Q211" i="206"/>
  <c r="N211" i="206"/>
  <c r="T211" i="206"/>
  <c r="Q233" i="206"/>
  <c r="N233" i="206"/>
  <c r="T233" i="206"/>
  <c r="Q219" i="206"/>
  <c r="N219" i="206"/>
  <c r="T219" i="206"/>
  <c r="Q221" i="206"/>
  <c r="N221" i="206"/>
  <c r="T221" i="206"/>
  <c r="Q199" i="206"/>
  <c r="T209" i="206"/>
  <c r="N250" i="206"/>
  <c r="T250" i="206"/>
  <c r="Q250" i="206"/>
  <c r="T201" i="206"/>
  <c r="Q223" i="206"/>
  <c r="T223" i="206"/>
  <c r="Q241" i="206"/>
  <c r="N241" i="206"/>
  <c r="T241" i="206"/>
  <c r="Q215" i="206"/>
  <c r="N215" i="206"/>
  <c r="T215" i="206"/>
  <c r="Q225" i="206"/>
  <c r="N225" i="206"/>
  <c r="T225" i="206"/>
  <c r="Q239" i="206"/>
  <c r="N239" i="206"/>
  <c r="T239" i="206"/>
  <c r="Q243" i="206"/>
  <c r="T243" i="206"/>
  <c r="T246" i="206"/>
  <c r="N262" i="206"/>
  <c r="T262" i="206"/>
  <c r="Q262" i="206"/>
  <c r="T203" i="206"/>
  <c r="Q217" i="206"/>
  <c r="N227" i="206"/>
  <c r="T227" i="206"/>
  <c r="Q237" i="206"/>
  <c r="N237" i="206"/>
  <c r="T237" i="206"/>
  <c r="N256" i="206"/>
  <c r="T256" i="206"/>
  <c r="N271" i="206"/>
  <c r="T271" i="206"/>
  <c r="Q380" i="206"/>
  <c r="N380" i="206"/>
  <c r="T380" i="206"/>
  <c r="Q236" i="206"/>
  <c r="Q238" i="206"/>
  <c r="Q240" i="206"/>
  <c r="T248" i="206"/>
  <c r="T268" i="206"/>
  <c r="Q271" i="206"/>
  <c r="N273" i="206"/>
  <c r="Q362" i="206"/>
  <c r="N362" i="206"/>
  <c r="T362" i="206"/>
  <c r="Q256" i="206"/>
  <c r="N260" i="206"/>
  <c r="T260" i="206"/>
  <c r="Q354" i="206"/>
  <c r="N354" i="206"/>
  <c r="T354" i="206"/>
  <c r="T244" i="206"/>
  <c r="N248" i="206"/>
  <c r="N254" i="206"/>
  <c r="T254" i="206"/>
  <c r="Q248" i="206"/>
  <c r="Q254" i="206"/>
  <c r="N258" i="206"/>
  <c r="T258" i="206"/>
  <c r="Q268" i="206"/>
  <c r="T270" i="206"/>
  <c r="Q350" i="206"/>
  <c r="T350" i="206"/>
  <c r="Q328" i="206"/>
  <c r="Q330" i="206"/>
  <c r="N330" i="206"/>
  <c r="Q344" i="206"/>
  <c r="T344" i="206"/>
  <c r="Q336" i="206"/>
  <c r="N336" i="206"/>
  <c r="T330" i="206"/>
  <c r="Q356" i="206"/>
  <c r="N356" i="206"/>
  <c r="T356" i="206"/>
  <c r="Q405" i="206"/>
  <c r="N405" i="206"/>
  <c r="Q382" i="206"/>
  <c r="N382" i="206"/>
  <c r="T334" i="206"/>
  <c r="Q358" i="206"/>
  <c r="N358" i="206"/>
  <c r="T379" i="206"/>
  <c r="T405" i="206"/>
  <c r="Q346" i="206"/>
  <c r="N346" i="206"/>
  <c r="Q352" i="206"/>
  <c r="N352" i="206"/>
  <c r="T332" i="206"/>
  <c r="Q360" i="206"/>
  <c r="N360" i="206"/>
  <c r="N342" i="206"/>
  <c r="Q348" i="206"/>
  <c r="N348" i="206"/>
  <c r="T358" i="206"/>
  <c r="Q372" i="206"/>
  <c r="N372" i="206"/>
  <c r="Q383" i="206"/>
  <c r="Q404" i="206"/>
  <c r="Q406" i="206"/>
  <c r="T404" i="206"/>
  <c r="T406" i="206"/>
  <c r="AC45" i="48" l="1"/>
  <c r="X45" i="48"/>
  <c r="S45" i="48"/>
  <c r="A9" i="48"/>
  <c r="A10" i="48" s="1"/>
  <c r="A11" i="48" s="1"/>
  <c r="A12" i="48" s="1"/>
  <c r="A13" i="48" s="1"/>
  <c r="A14" i="48" s="1"/>
  <c r="A15" i="48" s="1"/>
  <c r="A16" i="48" s="1"/>
  <c r="A17" i="48" s="1"/>
  <c r="A18" i="48" s="1"/>
  <c r="A19" i="48" s="1"/>
  <c r="A20" i="48" s="1"/>
  <c r="A21" i="48" s="1"/>
  <c r="A22" i="48" s="1"/>
  <c r="A23" i="48" s="1"/>
  <c r="A24" i="48" s="1"/>
  <c r="A25" i="48" s="1"/>
  <c r="A26" i="48" s="1"/>
  <c r="A27" i="48" s="1"/>
  <c r="A28" i="48" s="1"/>
  <c r="A29" i="48" s="1"/>
  <c r="A30" i="48" s="1"/>
  <c r="A31" i="48" s="1"/>
  <c r="A32" i="48" s="1"/>
  <c r="A33" i="48" s="1"/>
  <c r="A34" i="48" s="1"/>
  <c r="A35" i="48" s="1"/>
  <c r="A36" i="48" s="1"/>
  <c r="AD4" i="48"/>
  <c r="AE4" i="48" s="1"/>
  <c r="AF4" i="48" s="1"/>
  <c r="AG4" i="48" s="1"/>
  <c r="AH4" i="48" s="1"/>
  <c r="AI4" i="48" s="1"/>
  <c r="AJ4" i="48" s="1"/>
  <c r="B4" i="48"/>
  <c r="C4" i="48" s="1"/>
  <c r="D4" i="48" s="1"/>
  <c r="E4" i="48" s="1"/>
  <c r="F4" i="48" s="1"/>
  <c r="G4" i="48" s="1"/>
  <c r="H4" i="48" s="1"/>
  <c r="I4" i="48" s="1"/>
  <c r="J4" i="48" s="1"/>
  <c r="K4" i="48" s="1"/>
  <c r="L4" i="48" s="1"/>
  <c r="M4" i="48" s="1"/>
  <c r="N4" i="48" s="1"/>
  <c r="O4" i="48" s="1"/>
  <c r="P4" i="48" s="1"/>
  <c r="Q4" i="48" s="1"/>
  <c r="R4" i="48" s="1"/>
  <c r="S4" i="48" s="1"/>
  <c r="T4" i="48" s="1"/>
  <c r="U4" i="48" s="1"/>
  <c r="V4" i="48" s="1"/>
  <c r="W4" i="48" s="1"/>
  <c r="X4" i="48" s="1"/>
  <c r="Y4" i="48" s="1"/>
  <c r="Z4" i="48" s="1"/>
  <c r="AA4" i="48" s="1"/>
  <c r="AB4" i="48" s="1"/>
  <c r="A37" i="48" l="1"/>
  <c r="A38" i="48" s="1"/>
  <c r="A39" i="48" s="1"/>
  <c r="A40" i="48" s="1"/>
  <c r="A41" i="48" s="1"/>
  <c r="A42" i="48" l="1"/>
  <c r="A43" i="48" s="1"/>
  <c r="A45" i="65"/>
  <c r="N46" i="65" l="1"/>
  <c r="N47" i="65"/>
  <c r="N48" i="65"/>
  <c r="N49" i="65"/>
  <c r="N50" i="65"/>
  <c r="N51" i="65"/>
  <c r="N52" i="65"/>
  <c r="N53" i="65"/>
  <c r="N54" i="65"/>
  <c r="N55" i="65"/>
  <c r="N56" i="65"/>
  <c r="N57" i="65"/>
  <c r="N58" i="65"/>
  <c r="N59" i="65"/>
  <c r="N60" i="65"/>
  <c r="N61" i="65"/>
  <c r="N62" i="65"/>
  <c r="N63" i="65"/>
  <c r="N64" i="65"/>
  <c r="N65" i="65"/>
  <c r="N66" i="65"/>
  <c r="N67" i="65"/>
  <c r="N68" i="65"/>
  <c r="N69" i="65"/>
  <c r="N70" i="65"/>
  <c r="N71" i="65"/>
  <c r="N72" i="65"/>
  <c r="N73" i="65"/>
  <c r="N74" i="65"/>
  <c r="N75" i="65"/>
  <c r="N76" i="65"/>
  <c r="N77" i="65"/>
  <c r="N89" i="65"/>
  <c r="K91" i="65"/>
  <c r="I46" i="65"/>
  <c r="I47" i="65"/>
  <c r="I48" i="65"/>
  <c r="I49" i="65"/>
  <c r="I50" i="65"/>
  <c r="I51" i="65"/>
  <c r="I52" i="65"/>
  <c r="I53" i="65"/>
  <c r="I54" i="65"/>
  <c r="I55" i="65"/>
  <c r="I56" i="65"/>
  <c r="I57" i="65"/>
  <c r="I58" i="65"/>
  <c r="I59" i="65"/>
  <c r="I60" i="65"/>
  <c r="I61" i="65"/>
  <c r="I62" i="65"/>
  <c r="I63" i="65"/>
  <c r="I64" i="65"/>
  <c r="I65" i="65"/>
  <c r="I66" i="65"/>
  <c r="I67" i="65"/>
  <c r="I68" i="65"/>
  <c r="I69" i="65"/>
  <c r="I70" i="65"/>
  <c r="I71" i="65"/>
  <c r="I72" i="65"/>
  <c r="I73" i="65"/>
  <c r="I74" i="65"/>
  <c r="I75" i="65"/>
  <c r="I76" i="65"/>
  <c r="I77" i="65"/>
  <c r="I88" i="65"/>
  <c r="I89" i="65"/>
  <c r="F46" i="65"/>
  <c r="F47" i="65"/>
  <c r="F48" i="65"/>
  <c r="F49" i="65"/>
  <c r="F50" i="65"/>
  <c r="F51" i="65"/>
  <c r="F52" i="65"/>
  <c r="F53" i="65"/>
  <c r="F54" i="65"/>
  <c r="F55" i="65"/>
  <c r="F56" i="65"/>
  <c r="F57" i="65"/>
  <c r="F58" i="65"/>
  <c r="F59" i="65"/>
  <c r="F60" i="65"/>
  <c r="F61" i="65"/>
  <c r="F62" i="65"/>
  <c r="F63" i="65"/>
  <c r="F64" i="65"/>
  <c r="F65" i="65"/>
  <c r="F66" i="65"/>
  <c r="F67" i="65"/>
  <c r="F68" i="65"/>
  <c r="F69" i="65"/>
  <c r="F70" i="65"/>
  <c r="F71" i="65"/>
  <c r="F72" i="65"/>
  <c r="F73" i="65"/>
  <c r="F74" i="65"/>
  <c r="F75" i="65"/>
  <c r="F76" i="65"/>
  <c r="F77" i="65"/>
  <c r="F88" i="65"/>
  <c r="F89" i="65"/>
  <c r="A46" i="65"/>
  <c r="A47" i="65" s="1"/>
  <c r="A48" i="65" s="1"/>
  <c r="A49" i="65" s="1"/>
  <c r="A50" i="65" s="1"/>
  <c r="A51" i="65" s="1"/>
  <c r="A52" i="65" s="1"/>
  <c r="A53" i="65" s="1"/>
  <c r="A54" i="65" s="1"/>
  <c r="A55" i="65" s="1"/>
  <c r="A56" i="65" s="1"/>
  <c r="A57" i="65" s="1"/>
  <c r="A58" i="65" s="1"/>
  <c r="A59" i="65" s="1"/>
  <c r="A60" i="65" s="1"/>
  <c r="A61" i="65" s="1"/>
  <c r="A62" i="65" s="1"/>
  <c r="A63" i="65" s="1"/>
  <c r="A64" i="65" s="1"/>
  <c r="A65" i="65" s="1"/>
  <c r="A66" i="65" s="1"/>
  <c r="A67" i="65" s="1"/>
  <c r="A68" i="65" s="1"/>
  <c r="A69" i="65" s="1"/>
  <c r="A70" i="65" s="1"/>
  <c r="A71" i="65" s="1"/>
  <c r="A72" i="65" s="1"/>
  <c r="A73" i="65" s="1"/>
  <c r="A74" i="65" s="1"/>
  <c r="A75" i="65" s="1"/>
  <c r="A76" i="65" s="1"/>
  <c r="A77" i="65" s="1"/>
  <c r="A78" i="65" s="1"/>
  <c r="A79" i="65" s="1"/>
  <c r="A80" i="65" s="1"/>
  <c r="A81" i="65" s="1"/>
  <c r="A82" i="65" s="1"/>
  <c r="A83" i="65" s="1"/>
  <c r="A84" i="65" s="1"/>
  <c r="A85" i="65" s="1"/>
  <c r="A86" i="65" s="1"/>
  <c r="A87" i="65" s="1"/>
  <c r="A88" i="65" s="1"/>
  <c r="A89" i="65" s="1"/>
  <c r="C28" i="185" l="1"/>
  <c r="B36" i="171"/>
  <c r="G9" i="185" l="1"/>
  <c r="G20" i="185" l="1"/>
  <c r="D34" i="182" l="1"/>
  <c r="E34" i="182"/>
  <c r="F34" i="182"/>
  <c r="G34" i="182"/>
  <c r="H34" i="182"/>
  <c r="I34" i="182"/>
  <c r="J34" i="182"/>
  <c r="K34" i="182"/>
  <c r="L34" i="182"/>
  <c r="M34" i="182"/>
  <c r="O34" i="182"/>
  <c r="P34" i="182"/>
  <c r="Q34" i="182"/>
  <c r="R34" i="182"/>
  <c r="S34" i="182"/>
  <c r="T34" i="182"/>
  <c r="U34" i="182"/>
  <c r="V34" i="182"/>
  <c r="W34" i="182"/>
  <c r="X34" i="182"/>
  <c r="Y34" i="182"/>
  <c r="Z34" i="182"/>
  <c r="AA34" i="182"/>
  <c r="AB34" i="182"/>
  <c r="AC34" i="182"/>
  <c r="AD34" i="182"/>
  <c r="AE34" i="182"/>
  <c r="AF34" i="182"/>
  <c r="AG34" i="182"/>
  <c r="AH34" i="182"/>
  <c r="AI34" i="182"/>
  <c r="AJ34" i="182"/>
  <c r="AK34" i="182"/>
  <c r="AL34" i="182"/>
  <c r="AM34" i="182"/>
  <c r="AN34" i="182"/>
  <c r="F9" i="171" l="1"/>
  <c r="B37" i="171" l="1"/>
  <c r="B38" i="171"/>
  <c r="B39" i="171"/>
  <c r="A3" i="224" l="1"/>
  <c r="I1" i="224"/>
  <c r="A1" i="224"/>
  <c r="B16" i="204" l="1"/>
  <c r="G5" i="206" l="1"/>
  <c r="K408" i="206" l="1"/>
  <c r="H5" i="206"/>
  <c r="Q5" i="206" s="1"/>
  <c r="I5" i="206"/>
  <c r="T5" i="206" s="1"/>
  <c r="N5" i="206"/>
  <c r="L394" i="206" l="1"/>
  <c r="M394" i="206" s="1"/>
  <c r="L392" i="206"/>
  <c r="M392" i="206" s="1"/>
  <c r="L390" i="206"/>
  <c r="M390" i="206" s="1"/>
  <c r="L393" i="206"/>
  <c r="M393" i="206" s="1"/>
  <c r="L391" i="206"/>
  <c r="M391" i="206" s="1"/>
  <c r="L389" i="206"/>
  <c r="M389" i="206" s="1"/>
  <c r="L387" i="206"/>
  <c r="M387" i="206" s="1"/>
  <c r="L396" i="206"/>
  <c r="M396" i="206" s="1"/>
  <c r="L398" i="206"/>
  <c r="M398" i="206" s="1"/>
  <c r="L400" i="206"/>
  <c r="M400" i="206" s="1"/>
  <c r="L402" i="206"/>
  <c r="M402" i="206" s="1"/>
  <c r="L403" i="206"/>
  <c r="M403" i="206" s="1"/>
  <c r="L385" i="206"/>
  <c r="M385" i="206" s="1"/>
  <c r="L388" i="206"/>
  <c r="M388" i="206" s="1"/>
  <c r="L399" i="206"/>
  <c r="M399" i="206" s="1"/>
  <c r="L386" i="206"/>
  <c r="M386" i="206" s="1"/>
  <c r="L395" i="206"/>
  <c r="M395" i="206" s="1"/>
  <c r="L397" i="206"/>
  <c r="M397" i="206" s="1"/>
  <c r="L401" i="206"/>
  <c r="M401" i="206" s="1"/>
  <c r="L384" i="206"/>
  <c r="M384" i="206" s="1"/>
  <c r="L381" i="206"/>
  <c r="M381" i="206" s="1"/>
  <c r="L378" i="206"/>
  <c r="M378" i="206" s="1"/>
  <c r="L376" i="206"/>
  <c r="M376" i="206" s="1"/>
  <c r="L374" i="206"/>
  <c r="M374" i="206" s="1"/>
  <c r="L373" i="206"/>
  <c r="M373" i="206" s="1"/>
  <c r="L371" i="206"/>
  <c r="M371" i="206" s="1"/>
  <c r="L369" i="206"/>
  <c r="M369" i="206" s="1"/>
  <c r="L367" i="206"/>
  <c r="M367" i="206" s="1"/>
  <c r="L365" i="206"/>
  <c r="M365" i="206" s="1"/>
  <c r="L363" i="206"/>
  <c r="M363" i="206" s="1"/>
  <c r="L361" i="206"/>
  <c r="M361" i="206" s="1"/>
  <c r="L359" i="206"/>
  <c r="M359" i="206" s="1"/>
  <c r="L357" i="206"/>
  <c r="M357" i="206" s="1"/>
  <c r="L355" i="206"/>
  <c r="M355" i="206" s="1"/>
  <c r="L353" i="206"/>
  <c r="M353" i="206" s="1"/>
  <c r="L351" i="206"/>
  <c r="M351" i="206" s="1"/>
  <c r="L349" i="206"/>
  <c r="M349" i="206" s="1"/>
  <c r="L347" i="206"/>
  <c r="M347" i="206" s="1"/>
  <c r="L345" i="206"/>
  <c r="M345" i="206" s="1"/>
  <c r="L343" i="206"/>
  <c r="M343" i="206" s="1"/>
  <c r="L341" i="206"/>
  <c r="M341" i="206" s="1"/>
  <c r="L339" i="206"/>
  <c r="M339" i="206" s="1"/>
  <c r="L352" i="206"/>
  <c r="M352" i="206" s="1"/>
  <c r="L346" i="206"/>
  <c r="M346" i="206" s="1"/>
  <c r="L342" i="206"/>
  <c r="M342" i="206" s="1"/>
  <c r="L337" i="206"/>
  <c r="M337" i="206" s="1"/>
  <c r="L329" i="206"/>
  <c r="M329" i="206" s="1"/>
  <c r="L382" i="206"/>
  <c r="M382" i="206" s="1"/>
  <c r="L331" i="206"/>
  <c r="M331" i="206" s="1"/>
  <c r="L326" i="206"/>
  <c r="M326" i="206" s="1"/>
  <c r="L324" i="206"/>
  <c r="M324" i="206" s="1"/>
  <c r="L322" i="206"/>
  <c r="M322" i="206" s="1"/>
  <c r="L320" i="206"/>
  <c r="M320" i="206" s="1"/>
  <c r="L318" i="206"/>
  <c r="M318" i="206" s="1"/>
  <c r="L316" i="206"/>
  <c r="M316" i="206" s="1"/>
  <c r="L314" i="206"/>
  <c r="M314" i="206" s="1"/>
  <c r="L312" i="206"/>
  <c r="M312" i="206" s="1"/>
  <c r="L310" i="206"/>
  <c r="M310" i="206" s="1"/>
  <c r="L308" i="206"/>
  <c r="M308" i="206" s="1"/>
  <c r="L306" i="206"/>
  <c r="M306" i="206" s="1"/>
  <c r="L304" i="206"/>
  <c r="M304" i="206" s="1"/>
  <c r="L302" i="206"/>
  <c r="M302" i="206" s="1"/>
  <c r="L300" i="206"/>
  <c r="M300" i="206" s="1"/>
  <c r="L368" i="206"/>
  <c r="M368" i="206" s="1"/>
  <c r="L323" i="206"/>
  <c r="M323" i="206" s="1"/>
  <c r="L319" i="206"/>
  <c r="M319" i="206" s="1"/>
  <c r="L315" i="206"/>
  <c r="M315" i="206" s="1"/>
  <c r="L311" i="206"/>
  <c r="M311" i="206" s="1"/>
  <c r="L307" i="206"/>
  <c r="M307" i="206" s="1"/>
  <c r="L303" i="206"/>
  <c r="M303" i="206" s="1"/>
  <c r="L298" i="206"/>
  <c r="M298" i="206" s="1"/>
  <c r="L296" i="206"/>
  <c r="M296" i="206" s="1"/>
  <c r="L294" i="206"/>
  <c r="M294" i="206" s="1"/>
  <c r="L289" i="206"/>
  <c r="M289" i="206" s="1"/>
  <c r="L285" i="206"/>
  <c r="M285" i="206" s="1"/>
  <c r="L281" i="206"/>
  <c r="M281" i="206" s="1"/>
  <c r="L277" i="206"/>
  <c r="M277" i="206" s="1"/>
  <c r="L405" i="206"/>
  <c r="M405" i="206" s="1"/>
  <c r="L338" i="206"/>
  <c r="M338" i="206" s="1"/>
  <c r="L327" i="206"/>
  <c r="M327" i="206" s="1"/>
  <c r="L299" i="206"/>
  <c r="M299" i="206" s="1"/>
  <c r="L297" i="206"/>
  <c r="M297" i="206" s="1"/>
  <c r="L295" i="206"/>
  <c r="M295" i="206" s="1"/>
  <c r="L333" i="206"/>
  <c r="M333" i="206" s="1"/>
  <c r="L293" i="206"/>
  <c r="M293" i="206" s="1"/>
  <c r="L292" i="206"/>
  <c r="M292" i="206" s="1"/>
  <c r="L288" i="206"/>
  <c r="M288" i="206" s="1"/>
  <c r="L284" i="206"/>
  <c r="M284" i="206" s="1"/>
  <c r="L280" i="206"/>
  <c r="M280" i="206" s="1"/>
  <c r="L276" i="206"/>
  <c r="M276" i="206" s="1"/>
  <c r="L372" i="206"/>
  <c r="M372" i="206" s="1"/>
  <c r="L325" i="206"/>
  <c r="M325" i="206" s="1"/>
  <c r="L321" i="206"/>
  <c r="M321" i="206" s="1"/>
  <c r="L317" i="206"/>
  <c r="M317" i="206" s="1"/>
  <c r="L313" i="206"/>
  <c r="M313" i="206" s="1"/>
  <c r="L309" i="206"/>
  <c r="M309" i="206" s="1"/>
  <c r="L305" i="206"/>
  <c r="M305" i="206" s="1"/>
  <c r="L301" i="206"/>
  <c r="M301" i="206" s="1"/>
  <c r="L291" i="206"/>
  <c r="M291" i="206" s="1"/>
  <c r="L287" i="206"/>
  <c r="M287" i="206" s="1"/>
  <c r="L283" i="206"/>
  <c r="M283" i="206" s="1"/>
  <c r="L279" i="206"/>
  <c r="M279" i="206" s="1"/>
  <c r="L275" i="206"/>
  <c r="M275" i="206" s="1"/>
  <c r="L290" i="206"/>
  <c r="M290" i="206" s="1"/>
  <c r="L286" i="206"/>
  <c r="M286" i="206" s="1"/>
  <c r="L282" i="206"/>
  <c r="M282" i="206" s="1"/>
  <c r="L278" i="206"/>
  <c r="M278" i="206" s="1"/>
  <c r="L348" i="206"/>
  <c r="M348" i="206" s="1"/>
  <c r="L340" i="206"/>
  <c r="M340" i="206" s="1"/>
  <c r="L222" i="206"/>
  <c r="M222" i="206" s="1"/>
  <c r="L220" i="206"/>
  <c r="M220" i="206" s="1"/>
  <c r="L218" i="206"/>
  <c r="M218" i="206" s="1"/>
  <c r="L216" i="206"/>
  <c r="M216" i="206" s="1"/>
  <c r="L214" i="206"/>
  <c r="M214" i="206" s="1"/>
  <c r="L212" i="206"/>
  <c r="M212" i="206" s="1"/>
  <c r="L210" i="206"/>
  <c r="M210" i="206" s="1"/>
  <c r="L208" i="206"/>
  <c r="M208" i="206" s="1"/>
  <c r="L206" i="206"/>
  <c r="M206" i="206" s="1"/>
  <c r="L204" i="206"/>
  <c r="M204" i="206" s="1"/>
  <c r="L335" i="206"/>
  <c r="M335" i="206" s="1"/>
  <c r="L196" i="206"/>
  <c r="M196" i="206" s="1"/>
  <c r="L194" i="206"/>
  <c r="M194" i="206" s="1"/>
  <c r="L192" i="206"/>
  <c r="M192" i="206" s="1"/>
  <c r="L190" i="206"/>
  <c r="M190" i="206" s="1"/>
  <c r="L187" i="206"/>
  <c r="M187" i="206" s="1"/>
  <c r="L185" i="206"/>
  <c r="M185" i="206" s="1"/>
  <c r="L183" i="206"/>
  <c r="M183" i="206" s="1"/>
  <c r="L181" i="206"/>
  <c r="M181" i="206" s="1"/>
  <c r="L180" i="206"/>
  <c r="M180" i="206" s="1"/>
  <c r="L178" i="206"/>
  <c r="M178" i="206" s="1"/>
  <c r="L176" i="206"/>
  <c r="M176" i="206" s="1"/>
  <c r="L174" i="206"/>
  <c r="M174" i="206" s="1"/>
  <c r="L172" i="206"/>
  <c r="M172" i="206" s="1"/>
  <c r="L170" i="206"/>
  <c r="M170" i="206" s="1"/>
  <c r="L168" i="206"/>
  <c r="M168" i="206" s="1"/>
  <c r="L166" i="206"/>
  <c r="M166" i="206" s="1"/>
  <c r="L164" i="206"/>
  <c r="M164" i="206" s="1"/>
  <c r="L162" i="206"/>
  <c r="M162" i="206" s="1"/>
  <c r="L160" i="206"/>
  <c r="M160" i="206" s="1"/>
  <c r="L158" i="206"/>
  <c r="M158" i="206" s="1"/>
  <c r="L156" i="206"/>
  <c r="M156" i="206" s="1"/>
  <c r="L154" i="206"/>
  <c r="M154" i="206" s="1"/>
  <c r="L152" i="206"/>
  <c r="M152" i="206" s="1"/>
  <c r="L150" i="206"/>
  <c r="M150" i="206" s="1"/>
  <c r="L147" i="206"/>
  <c r="M147" i="206" s="1"/>
  <c r="L145" i="206"/>
  <c r="M145" i="206" s="1"/>
  <c r="L143" i="206"/>
  <c r="M143" i="206" s="1"/>
  <c r="L141" i="206"/>
  <c r="M141" i="206" s="1"/>
  <c r="L198" i="206"/>
  <c r="M198" i="206" s="1"/>
  <c r="L203" i="206"/>
  <c r="M203" i="206" s="1"/>
  <c r="L200" i="206"/>
  <c r="M200" i="206" s="1"/>
  <c r="L195" i="206"/>
  <c r="M195" i="206" s="1"/>
  <c r="L193" i="206"/>
  <c r="M193" i="206" s="1"/>
  <c r="L191" i="206"/>
  <c r="M191" i="206" s="1"/>
  <c r="L189" i="206"/>
  <c r="M189" i="206" s="1"/>
  <c r="L188" i="206"/>
  <c r="M188" i="206" s="1"/>
  <c r="L186" i="206"/>
  <c r="M186" i="206" s="1"/>
  <c r="L184" i="206"/>
  <c r="M184" i="206" s="1"/>
  <c r="L182" i="206"/>
  <c r="M182" i="206" s="1"/>
  <c r="L179" i="206"/>
  <c r="M179" i="206" s="1"/>
  <c r="L177" i="206"/>
  <c r="M177" i="206" s="1"/>
  <c r="L175" i="206"/>
  <c r="M175" i="206" s="1"/>
  <c r="L173" i="206"/>
  <c r="M173" i="206" s="1"/>
  <c r="L171" i="206"/>
  <c r="M171" i="206" s="1"/>
  <c r="L169" i="206"/>
  <c r="M169" i="206" s="1"/>
  <c r="L167" i="206"/>
  <c r="M167" i="206" s="1"/>
  <c r="L165" i="206"/>
  <c r="M165" i="206" s="1"/>
  <c r="L163" i="206"/>
  <c r="M163" i="206" s="1"/>
  <c r="L161" i="206"/>
  <c r="M161" i="206" s="1"/>
  <c r="L159" i="206"/>
  <c r="M159" i="206" s="1"/>
  <c r="L157" i="206"/>
  <c r="M157" i="206" s="1"/>
  <c r="L155" i="206"/>
  <c r="M155" i="206" s="1"/>
  <c r="L153" i="206"/>
  <c r="M153" i="206" s="1"/>
  <c r="L139" i="206"/>
  <c r="M139" i="206" s="1"/>
  <c r="L135" i="206"/>
  <c r="M135" i="206" s="1"/>
  <c r="L131" i="206"/>
  <c r="M131" i="206" s="1"/>
  <c r="L125" i="206"/>
  <c r="M125" i="206" s="1"/>
  <c r="L123" i="206"/>
  <c r="M123" i="206" s="1"/>
  <c r="L121" i="206"/>
  <c r="M121" i="206" s="1"/>
  <c r="L119" i="206"/>
  <c r="M119" i="206" s="1"/>
  <c r="L117" i="206"/>
  <c r="M117" i="206" s="1"/>
  <c r="L115" i="206"/>
  <c r="M115" i="206" s="1"/>
  <c r="L113" i="206"/>
  <c r="M113" i="206" s="1"/>
  <c r="L111" i="206"/>
  <c r="M111" i="206" s="1"/>
  <c r="L109" i="206"/>
  <c r="M109" i="206" s="1"/>
  <c r="L107" i="206"/>
  <c r="M107" i="206" s="1"/>
  <c r="L105" i="206"/>
  <c r="M105" i="206" s="1"/>
  <c r="L103" i="206"/>
  <c r="M103" i="206" s="1"/>
  <c r="L101" i="206"/>
  <c r="M101" i="206" s="1"/>
  <c r="L99" i="206"/>
  <c r="M99" i="206" s="1"/>
  <c r="L97" i="206"/>
  <c r="M97" i="206" s="1"/>
  <c r="L95" i="206"/>
  <c r="M95" i="206" s="1"/>
  <c r="L93" i="206"/>
  <c r="M93" i="206" s="1"/>
  <c r="L91" i="206"/>
  <c r="M91" i="206" s="1"/>
  <c r="L89" i="206"/>
  <c r="M89" i="206" s="1"/>
  <c r="L87" i="206"/>
  <c r="M87" i="206" s="1"/>
  <c r="L127" i="206"/>
  <c r="M127" i="206" s="1"/>
  <c r="L138" i="206"/>
  <c r="M138" i="206" s="1"/>
  <c r="L134" i="206"/>
  <c r="M134" i="206" s="1"/>
  <c r="L130" i="206"/>
  <c r="M130" i="206" s="1"/>
  <c r="L149" i="206"/>
  <c r="M149" i="206" s="1"/>
  <c r="L148" i="206"/>
  <c r="M148" i="206" s="1"/>
  <c r="L146" i="206"/>
  <c r="M146" i="206" s="1"/>
  <c r="L144" i="206"/>
  <c r="M144" i="206" s="1"/>
  <c r="L142" i="206"/>
  <c r="M142" i="206" s="1"/>
  <c r="L137" i="206"/>
  <c r="M137" i="206" s="1"/>
  <c r="L133" i="206"/>
  <c r="M133" i="206" s="1"/>
  <c r="L129" i="206"/>
  <c r="M129" i="206" s="1"/>
  <c r="L140" i="206"/>
  <c r="M140" i="206" s="1"/>
  <c r="L136" i="206"/>
  <c r="M136" i="206" s="1"/>
  <c r="L132" i="206"/>
  <c r="M132" i="206" s="1"/>
  <c r="L128" i="206"/>
  <c r="M128" i="206" s="1"/>
  <c r="L85" i="206"/>
  <c r="M85" i="206" s="1"/>
  <c r="L81" i="206"/>
  <c r="M81" i="206" s="1"/>
  <c r="L77" i="206"/>
  <c r="M77" i="206" s="1"/>
  <c r="L71" i="206"/>
  <c r="M71" i="206" s="1"/>
  <c r="L63" i="206"/>
  <c r="M63" i="206" s="1"/>
  <c r="L55" i="206"/>
  <c r="M55" i="206" s="1"/>
  <c r="L82" i="206"/>
  <c r="M82" i="206" s="1"/>
  <c r="L78" i="206"/>
  <c r="M78" i="206" s="1"/>
  <c r="L74" i="206"/>
  <c r="M74" i="206" s="1"/>
  <c r="L42" i="206"/>
  <c r="M42" i="206" s="1"/>
  <c r="L22" i="206"/>
  <c r="M22" i="206" s="1"/>
  <c r="L18" i="206"/>
  <c r="M18" i="206" s="1"/>
  <c r="L68" i="206"/>
  <c r="M68" i="206" s="1"/>
  <c r="L60" i="206"/>
  <c r="M60" i="206" s="1"/>
  <c r="L52" i="206"/>
  <c r="M52" i="206" s="1"/>
  <c r="L38" i="206"/>
  <c r="M38" i="206" s="1"/>
  <c r="L20" i="206"/>
  <c r="M20" i="206" s="1"/>
  <c r="L16" i="206"/>
  <c r="M16" i="206" s="1"/>
  <c r="L58" i="206"/>
  <c r="M58" i="206" s="1"/>
  <c r="L32" i="206"/>
  <c r="M32" i="206" s="1"/>
  <c r="L28" i="206"/>
  <c r="M28" i="206" s="1"/>
  <c r="L12" i="206"/>
  <c r="M12" i="206" s="1"/>
  <c r="L80" i="206"/>
  <c r="M80" i="206" s="1"/>
  <c r="L76" i="206"/>
  <c r="M76" i="206" s="1"/>
  <c r="L70" i="206"/>
  <c r="M70" i="206" s="1"/>
  <c r="L62" i="206"/>
  <c r="M62" i="206" s="1"/>
  <c r="L54" i="206"/>
  <c r="M54" i="206" s="1"/>
  <c r="L49" i="206"/>
  <c r="M49" i="206" s="1"/>
  <c r="L47" i="206"/>
  <c r="M47" i="206" s="1"/>
  <c r="L45" i="206"/>
  <c r="M45" i="206" s="1"/>
  <c r="L43" i="206"/>
  <c r="M43" i="206" s="1"/>
  <c r="L41" i="206"/>
  <c r="M41" i="206" s="1"/>
  <c r="L39" i="206"/>
  <c r="M39" i="206" s="1"/>
  <c r="L37" i="206"/>
  <c r="M37" i="206" s="1"/>
  <c r="L35" i="206"/>
  <c r="M35" i="206" s="1"/>
  <c r="L33" i="206"/>
  <c r="M33" i="206" s="1"/>
  <c r="L31" i="206"/>
  <c r="M31" i="206" s="1"/>
  <c r="L84" i="206"/>
  <c r="M84" i="206" s="1"/>
  <c r="L44" i="206"/>
  <c r="M44" i="206" s="1"/>
  <c r="L36" i="206"/>
  <c r="M36" i="206" s="1"/>
  <c r="L34" i="206"/>
  <c r="M34" i="206" s="1"/>
  <c r="L26" i="206"/>
  <c r="M26" i="206" s="1"/>
  <c r="L6" i="206"/>
  <c r="M6" i="206" s="1"/>
  <c r="L199" i="206"/>
  <c r="M199" i="206" s="1"/>
  <c r="L79" i="206"/>
  <c r="M79" i="206" s="1"/>
  <c r="L75" i="206"/>
  <c r="M75" i="206" s="1"/>
  <c r="L67" i="206"/>
  <c r="M67" i="206" s="1"/>
  <c r="L59" i="206"/>
  <c r="M59" i="206" s="1"/>
  <c r="L51" i="206"/>
  <c r="M51" i="206" s="1"/>
  <c r="L66" i="206"/>
  <c r="M66" i="206" s="1"/>
  <c r="L48" i="206"/>
  <c r="M48" i="206" s="1"/>
  <c r="L40" i="206"/>
  <c r="M40" i="206" s="1"/>
  <c r="L24" i="206"/>
  <c r="M24" i="206" s="1"/>
  <c r="L14" i="206"/>
  <c r="M14" i="206" s="1"/>
  <c r="L151" i="206"/>
  <c r="M151" i="206" s="1"/>
  <c r="L72" i="206"/>
  <c r="M72" i="206" s="1"/>
  <c r="L64" i="206"/>
  <c r="M64" i="206" s="1"/>
  <c r="L56" i="206"/>
  <c r="M56" i="206" s="1"/>
  <c r="L202" i="206"/>
  <c r="M202" i="206" s="1"/>
  <c r="L50" i="206"/>
  <c r="M50" i="206" s="1"/>
  <c r="L46" i="206"/>
  <c r="M46" i="206" s="1"/>
  <c r="L30" i="206"/>
  <c r="M30" i="206" s="1"/>
  <c r="L10" i="206"/>
  <c r="M10" i="206" s="1"/>
  <c r="L8" i="206"/>
  <c r="M8" i="206" s="1"/>
  <c r="L53" i="206"/>
  <c r="M53" i="206" s="1"/>
  <c r="L69" i="206"/>
  <c r="M69" i="206" s="1"/>
  <c r="L9" i="206"/>
  <c r="M9" i="206" s="1"/>
  <c r="L29" i="206"/>
  <c r="M29" i="206" s="1"/>
  <c r="L364" i="206"/>
  <c r="M364" i="206" s="1"/>
  <c r="L197" i="206"/>
  <c r="M197" i="206" s="1"/>
  <c r="L244" i="206"/>
  <c r="M244" i="206" s="1"/>
  <c r="L243" i="206"/>
  <c r="M243" i="206" s="1"/>
  <c r="L230" i="206"/>
  <c r="M230" i="206" s="1"/>
  <c r="L247" i="206"/>
  <c r="M247" i="206" s="1"/>
  <c r="L263" i="206"/>
  <c r="M263" i="206" s="1"/>
  <c r="L366" i="206"/>
  <c r="M366" i="206" s="1"/>
  <c r="L19" i="206"/>
  <c r="M19" i="206" s="1"/>
  <c r="L231" i="206"/>
  <c r="M231" i="206" s="1"/>
  <c r="L104" i="206"/>
  <c r="M104" i="206" s="1"/>
  <c r="L205" i="206"/>
  <c r="M205" i="206" s="1"/>
  <c r="L233" i="206"/>
  <c r="M233" i="206" s="1"/>
  <c r="L223" i="206"/>
  <c r="M223" i="206" s="1"/>
  <c r="L225" i="206"/>
  <c r="M225" i="206" s="1"/>
  <c r="L273" i="206"/>
  <c r="M273" i="206" s="1"/>
  <c r="L232" i="206"/>
  <c r="M232" i="206" s="1"/>
  <c r="L252" i="206"/>
  <c r="M252" i="206" s="1"/>
  <c r="L336" i="206"/>
  <c r="M336" i="206" s="1"/>
  <c r="L249" i="206"/>
  <c r="M249" i="206" s="1"/>
  <c r="L265" i="206"/>
  <c r="M265" i="206" s="1"/>
  <c r="L13" i="206"/>
  <c r="M13" i="206" s="1"/>
  <c r="L21" i="206"/>
  <c r="M21" i="206" s="1"/>
  <c r="L116" i="206"/>
  <c r="M116" i="206" s="1"/>
  <c r="L110" i="206"/>
  <c r="M110" i="206" s="1"/>
  <c r="L229" i="206"/>
  <c r="M229" i="206" s="1"/>
  <c r="L236" i="206"/>
  <c r="M236" i="206" s="1"/>
  <c r="L264" i="206"/>
  <c r="M264" i="206" s="1"/>
  <c r="L90" i="206"/>
  <c r="M90" i="206" s="1"/>
  <c r="L100" i="206"/>
  <c r="M100" i="206" s="1"/>
  <c r="L112" i="206"/>
  <c r="M112" i="206" s="1"/>
  <c r="L122" i="206"/>
  <c r="M122" i="206" s="1"/>
  <c r="L83" i="206"/>
  <c r="M83" i="206" s="1"/>
  <c r="L15" i="206"/>
  <c r="M15" i="206" s="1"/>
  <c r="L108" i="206"/>
  <c r="M108" i="206" s="1"/>
  <c r="L65" i="206"/>
  <c r="M65" i="206" s="1"/>
  <c r="L92" i="206"/>
  <c r="M92" i="206" s="1"/>
  <c r="L235" i="206"/>
  <c r="M235" i="206" s="1"/>
  <c r="L120" i="206"/>
  <c r="M120" i="206" s="1"/>
  <c r="L126" i="206"/>
  <c r="M126" i="206" s="1"/>
  <c r="L211" i="206"/>
  <c r="M211" i="206" s="1"/>
  <c r="L246" i="206"/>
  <c r="M246" i="206" s="1"/>
  <c r="L241" i="206"/>
  <c r="M241" i="206" s="1"/>
  <c r="L215" i="206"/>
  <c r="M215" i="206" s="1"/>
  <c r="L239" i="206"/>
  <c r="M239" i="206" s="1"/>
  <c r="L271" i="206"/>
  <c r="M271" i="206" s="1"/>
  <c r="L380" i="206"/>
  <c r="M380" i="206" s="1"/>
  <c r="L254" i="206"/>
  <c r="M254" i="206" s="1"/>
  <c r="L224" i="206"/>
  <c r="M224" i="206" s="1"/>
  <c r="L240" i="206"/>
  <c r="M240" i="206" s="1"/>
  <c r="L270" i="206"/>
  <c r="M270" i="206" s="1"/>
  <c r="L344" i="206"/>
  <c r="M344" i="206" s="1"/>
  <c r="L332" i="206"/>
  <c r="M332" i="206" s="1"/>
  <c r="L257" i="206"/>
  <c r="M257" i="206" s="1"/>
  <c r="L272" i="206"/>
  <c r="M272" i="206" s="1"/>
  <c r="L96" i="206"/>
  <c r="M96" i="206" s="1"/>
  <c r="L102" i="206"/>
  <c r="M102" i="206" s="1"/>
  <c r="L124" i="206"/>
  <c r="M124" i="206" s="1"/>
  <c r="L237" i="206"/>
  <c r="M237" i="206" s="1"/>
  <c r="L248" i="206"/>
  <c r="M248" i="206" s="1"/>
  <c r="L226" i="206"/>
  <c r="M226" i="206" s="1"/>
  <c r="L328" i="206"/>
  <c r="M328" i="206" s="1"/>
  <c r="L253" i="206"/>
  <c r="M253" i="206" s="1"/>
  <c r="L334" i="206"/>
  <c r="M334" i="206" s="1"/>
  <c r="L358" i="206"/>
  <c r="M358" i="206" s="1"/>
  <c r="L383" i="206"/>
  <c r="M383" i="206" s="1"/>
  <c r="L404" i="206"/>
  <c r="M404" i="206" s="1"/>
  <c r="L260" i="206"/>
  <c r="M260" i="206" s="1"/>
  <c r="L27" i="206"/>
  <c r="M27" i="206" s="1"/>
  <c r="L201" i="206"/>
  <c r="M201" i="206" s="1"/>
  <c r="L17" i="206"/>
  <c r="M17" i="206" s="1"/>
  <c r="L86" i="206"/>
  <c r="M86" i="206" s="1"/>
  <c r="L250" i="206"/>
  <c r="M250" i="206" s="1"/>
  <c r="L217" i="206"/>
  <c r="M217" i="206" s="1"/>
  <c r="L228" i="206"/>
  <c r="M228" i="206" s="1"/>
  <c r="L330" i="206"/>
  <c r="M330" i="206" s="1"/>
  <c r="L356" i="206"/>
  <c r="M356" i="206" s="1"/>
  <c r="L255" i="206"/>
  <c r="M255" i="206" s="1"/>
  <c r="L25" i="206"/>
  <c r="M25" i="206" s="1"/>
  <c r="L118" i="206"/>
  <c r="M118" i="206" s="1"/>
  <c r="L57" i="206"/>
  <c r="M57" i="206" s="1"/>
  <c r="L98" i="206"/>
  <c r="M98" i="206" s="1"/>
  <c r="L94" i="206"/>
  <c r="M94" i="206" s="1"/>
  <c r="L362" i="206"/>
  <c r="M362" i="206" s="1"/>
  <c r="L234" i="206"/>
  <c r="M234" i="206" s="1"/>
  <c r="L377" i="206"/>
  <c r="M377" i="206" s="1"/>
  <c r="L259" i="206"/>
  <c r="M259" i="206" s="1"/>
  <c r="L370" i="206"/>
  <c r="M370" i="206" s="1"/>
  <c r="L375" i="206"/>
  <c r="M375" i="206" s="1"/>
  <c r="L360" i="206"/>
  <c r="M360" i="206" s="1"/>
  <c r="L251" i="206"/>
  <c r="M251" i="206" s="1"/>
  <c r="L73" i="206"/>
  <c r="M73" i="206" s="1"/>
  <c r="L213" i="206"/>
  <c r="M213" i="206" s="1"/>
  <c r="L268" i="206"/>
  <c r="M268" i="206" s="1"/>
  <c r="L238" i="206"/>
  <c r="M238" i="206" s="1"/>
  <c r="L350" i="206"/>
  <c r="M350" i="206" s="1"/>
  <c r="L261" i="206"/>
  <c r="M261" i="206" s="1"/>
  <c r="L379" i="206"/>
  <c r="M379" i="206" s="1"/>
  <c r="L406" i="206"/>
  <c r="M406" i="206" s="1"/>
  <c r="L106" i="206"/>
  <c r="M106" i="206" s="1"/>
  <c r="L11" i="206"/>
  <c r="M11" i="206" s="1"/>
  <c r="L88" i="206"/>
  <c r="M88" i="206" s="1"/>
  <c r="L207" i="206"/>
  <c r="M207" i="206" s="1"/>
  <c r="L219" i="206"/>
  <c r="M219" i="206" s="1"/>
  <c r="L61" i="206"/>
  <c r="M61" i="206" s="1"/>
  <c r="L114" i="206"/>
  <c r="M114" i="206" s="1"/>
  <c r="L7" i="206"/>
  <c r="M7" i="206" s="1"/>
  <c r="L23" i="206"/>
  <c r="M23" i="206" s="1"/>
  <c r="L262" i="206"/>
  <c r="M262" i="206" s="1"/>
  <c r="L227" i="206"/>
  <c r="M227" i="206" s="1"/>
  <c r="L256" i="206"/>
  <c r="M256" i="206" s="1"/>
  <c r="L354" i="206"/>
  <c r="M354" i="206" s="1"/>
  <c r="L266" i="206"/>
  <c r="M266" i="206" s="1"/>
  <c r="L242" i="206"/>
  <c r="M242" i="206" s="1"/>
  <c r="L258" i="206"/>
  <c r="M258" i="206" s="1"/>
  <c r="L267" i="206"/>
  <c r="M267" i="206" s="1"/>
  <c r="L274" i="206"/>
  <c r="M274" i="206" s="1"/>
  <c r="L245" i="206"/>
  <c r="M245" i="206" s="1"/>
  <c r="L221" i="206"/>
  <c r="M221" i="206" s="1"/>
  <c r="L209" i="206"/>
  <c r="M209" i="206" s="1"/>
  <c r="L269" i="206"/>
  <c r="M269" i="206" s="1"/>
  <c r="L5" i="206"/>
  <c r="M5" i="206" s="1"/>
  <c r="T408" i="206"/>
  <c r="N408" i="206"/>
  <c r="Q408" i="206"/>
  <c r="R393" i="206" l="1"/>
  <c r="S393" i="206" s="1"/>
  <c r="R394" i="206"/>
  <c r="S394" i="206" s="1"/>
  <c r="R392" i="206"/>
  <c r="S392" i="206" s="1"/>
  <c r="R389" i="206"/>
  <c r="S389" i="206" s="1"/>
  <c r="R391" i="206"/>
  <c r="S391" i="206" s="1"/>
  <c r="O394" i="206"/>
  <c r="P394" i="206" s="1"/>
  <c r="O392" i="206"/>
  <c r="P392" i="206" s="1"/>
  <c r="O391" i="206"/>
  <c r="P391" i="206" s="1"/>
  <c r="O393" i="206"/>
  <c r="P393" i="206" s="1"/>
  <c r="O389" i="206"/>
  <c r="P389" i="206" s="1"/>
  <c r="U392" i="206"/>
  <c r="V392" i="206" s="1"/>
  <c r="U390" i="206"/>
  <c r="V390" i="206" s="1"/>
  <c r="U394" i="206"/>
  <c r="V394" i="206" s="1"/>
  <c r="U389" i="206"/>
  <c r="V389" i="206" s="1"/>
  <c r="U393" i="206"/>
  <c r="V393" i="206" s="1"/>
  <c r="U391" i="206"/>
  <c r="V391" i="206" s="1"/>
  <c r="O30" i="206"/>
  <c r="P30" i="206" s="1"/>
  <c r="O128" i="206"/>
  <c r="P128" i="206" s="1"/>
  <c r="O129" i="206"/>
  <c r="P129" i="206" s="1"/>
  <c r="O99" i="206"/>
  <c r="P99" i="206" s="1"/>
  <c r="O137" i="206"/>
  <c r="P137" i="206" s="1"/>
  <c r="O139" i="206"/>
  <c r="P139" i="206" s="1"/>
  <c r="O140" i="206"/>
  <c r="P140" i="206" s="1"/>
  <c r="O251" i="206"/>
  <c r="P251" i="206" s="1"/>
  <c r="O127" i="206"/>
  <c r="P127" i="206" s="1"/>
  <c r="O138" i="206"/>
  <c r="P138" i="206" s="1"/>
  <c r="O85" i="206"/>
  <c r="P85" i="206" s="1"/>
  <c r="O141" i="206"/>
  <c r="P141" i="206" s="1"/>
  <c r="O398" i="206"/>
  <c r="P398" i="206" s="1"/>
  <c r="O400" i="206"/>
  <c r="P400" i="206" s="1"/>
  <c r="O384" i="206"/>
  <c r="P384" i="206" s="1"/>
  <c r="O84" i="206"/>
  <c r="P84" i="206" s="1"/>
  <c r="O98" i="206"/>
  <c r="P98" i="206" s="1"/>
  <c r="O401" i="206"/>
  <c r="P401" i="206" s="1"/>
  <c r="O243" i="206"/>
  <c r="P243" i="206" s="1"/>
  <c r="O55" i="206"/>
  <c r="P55" i="206" s="1"/>
  <c r="O306" i="206"/>
  <c r="P306" i="206" s="1"/>
  <c r="O25" i="206"/>
  <c r="P25" i="206" s="1"/>
  <c r="O70" i="206"/>
  <c r="P70" i="206" s="1"/>
  <c r="O10" i="206"/>
  <c r="P10" i="206" s="1"/>
  <c r="O34" i="206"/>
  <c r="P34" i="206" s="1"/>
  <c r="O71" i="206"/>
  <c r="P71" i="206" s="1"/>
  <c r="O21" i="206"/>
  <c r="P21" i="206" s="1"/>
  <c r="O265" i="206"/>
  <c r="P265" i="206" s="1"/>
  <c r="O147" i="206"/>
  <c r="P147" i="206" s="1"/>
  <c r="O304" i="206"/>
  <c r="P304" i="206" s="1"/>
  <c r="O283" i="206"/>
  <c r="P283" i="206" s="1"/>
  <c r="O103" i="206"/>
  <c r="P103" i="206" s="1"/>
  <c r="O165" i="206"/>
  <c r="P165" i="206" s="1"/>
  <c r="O402" i="206"/>
  <c r="P402" i="206" s="1"/>
  <c r="O214" i="206"/>
  <c r="P214" i="206" s="1"/>
  <c r="O367" i="206"/>
  <c r="P367" i="206" s="1"/>
  <c r="O285" i="206"/>
  <c r="P285" i="206" s="1"/>
  <c r="O16" i="206"/>
  <c r="P16" i="206" s="1"/>
  <c r="O294" i="206"/>
  <c r="P294" i="206" s="1"/>
  <c r="O383" i="206"/>
  <c r="P383" i="206" s="1"/>
  <c r="O376" i="206"/>
  <c r="P376" i="206" s="1"/>
  <c r="U384" i="206"/>
  <c r="V384" i="206" s="1"/>
  <c r="U398" i="206"/>
  <c r="V398" i="206" s="1"/>
  <c r="R384" i="206"/>
  <c r="S384" i="206" s="1"/>
  <c r="R398" i="206"/>
  <c r="S398" i="206" s="1"/>
  <c r="R129" i="206"/>
  <c r="S129" i="206" s="1"/>
  <c r="R265" i="206"/>
  <c r="S265" i="206" s="1"/>
  <c r="R139" i="206"/>
  <c r="S139" i="206" s="1"/>
  <c r="O387" i="206"/>
  <c r="P387" i="206" s="1"/>
  <c r="O385" i="206"/>
  <c r="P385" i="206" s="1"/>
  <c r="O396" i="206"/>
  <c r="P396" i="206" s="1"/>
  <c r="O388" i="206"/>
  <c r="P388" i="206" s="1"/>
  <c r="O397" i="206"/>
  <c r="P397" i="206" s="1"/>
  <c r="O403" i="206"/>
  <c r="P403" i="206" s="1"/>
  <c r="O386" i="206"/>
  <c r="P386" i="206" s="1"/>
  <c r="O395" i="206"/>
  <c r="P395" i="206" s="1"/>
  <c r="O399" i="206"/>
  <c r="P399" i="206" s="1"/>
  <c r="U388" i="206"/>
  <c r="V388" i="206" s="1"/>
  <c r="U397" i="206"/>
  <c r="V397" i="206" s="1"/>
  <c r="U403" i="206"/>
  <c r="V403" i="206" s="1"/>
  <c r="U395" i="206"/>
  <c r="V395" i="206" s="1"/>
  <c r="U399" i="206"/>
  <c r="V399" i="206" s="1"/>
  <c r="U386" i="206"/>
  <c r="V386" i="206" s="1"/>
  <c r="U401" i="206"/>
  <c r="V401" i="206" s="1"/>
  <c r="U387" i="206"/>
  <c r="V387" i="206" s="1"/>
  <c r="U385" i="206"/>
  <c r="V385" i="206" s="1"/>
  <c r="U396" i="206"/>
  <c r="V396" i="206" s="1"/>
  <c r="U400" i="206"/>
  <c r="V400" i="206" s="1"/>
  <c r="U402" i="206"/>
  <c r="V402" i="206" s="1"/>
  <c r="R396" i="206"/>
  <c r="S396" i="206" s="1"/>
  <c r="R401" i="206"/>
  <c r="S401" i="206" s="1"/>
  <c r="R387" i="206"/>
  <c r="S387" i="206" s="1"/>
  <c r="R385" i="206"/>
  <c r="S385" i="206" s="1"/>
  <c r="R402" i="206"/>
  <c r="S402" i="206" s="1"/>
  <c r="R400" i="206"/>
  <c r="S400" i="206" s="1"/>
  <c r="R397" i="206"/>
  <c r="S397" i="206" s="1"/>
  <c r="R399" i="206"/>
  <c r="S399" i="206" s="1"/>
  <c r="R386" i="206"/>
  <c r="S386" i="206" s="1"/>
  <c r="R388" i="206"/>
  <c r="S388" i="206" s="1"/>
  <c r="R403" i="206"/>
  <c r="S403" i="206" s="1"/>
  <c r="R395" i="206"/>
  <c r="S395" i="206" s="1"/>
  <c r="O42" i="206"/>
  <c r="P42" i="206" s="1"/>
  <c r="O341" i="206"/>
  <c r="P341" i="206" s="1"/>
  <c r="O166" i="206"/>
  <c r="P166" i="206" s="1"/>
  <c r="O366" i="206"/>
  <c r="P366" i="206" s="1"/>
  <c r="O329" i="206"/>
  <c r="P329" i="206" s="1"/>
  <c r="O105" i="206"/>
  <c r="P105" i="206" s="1"/>
  <c r="O381" i="206"/>
  <c r="P381" i="206" s="1"/>
  <c r="O131" i="206"/>
  <c r="P131" i="206" s="1"/>
  <c r="O252" i="206"/>
  <c r="P252" i="206" s="1"/>
  <c r="O7" i="206"/>
  <c r="P7" i="206" s="1"/>
  <c r="O104" i="206"/>
  <c r="P104" i="206" s="1"/>
  <c r="O287" i="206"/>
  <c r="P287" i="206" s="1"/>
  <c r="O152" i="206"/>
  <c r="P152" i="206" s="1"/>
  <c r="O201" i="206"/>
  <c r="P201" i="206" s="1"/>
  <c r="O299" i="206"/>
  <c r="P299" i="206" s="1"/>
  <c r="O370" i="206"/>
  <c r="P370" i="206" s="1"/>
  <c r="O136" i="206"/>
  <c r="P136" i="206" s="1"/>
  <c r="O303" i="206"/>
  <c r="P303" i="206" s="1"/>
  <c r="O313" i="206"/>
  <c r="P313" i="206" s="1"/>
  <c r="O222" i="206"/>
  <c r="P222" i="206" s="1"/>
  <c r="O296" i="206"/>
  <c r="P296" i="206" s="1"/>
  <c r="O378" i="206"/>
  <c r="P378" i="206" s="1"/>
  <c r="O164" i="206"/>
  <c r="P164" i="206" s="1"/>
  <c r="O197" i="206"/>
  <c r="P197" i="206" s="1"/>
  <c r="O327" i="206"/>
  <c r="P327" i="206" s="1"/>
  <c r="O263" i="206"/>
  <c r="P263" i="206" s="1"/>
  <c r="O375" i="206"/>
  <c r="P375" i="206" s="1"/>
  <c r="O106" i="206"/>
  <c r="P106" i="206" s="1"/>
  <c r="O242" i="206"/>
  <c r="P242" i="206" s="1"/>
  <c r="O276" i="206"/>
  <c r="P276" i="206" s="1"/>
  <c r="O343" i="206"/>
  <c r="P343" i="206" s="1"/>
  <c r="O135" i="206"/>
  <c r="P135" i="206" s="1"/>
  <c r="O301" i="206"/>
  <c r="P301" i="206" s="1"/>
  <c r="O8" i="206"/>
  <c r="P8" i="206" s="1"/>
  <c r="O223" i="206"/>
  <c r="P223" i="206" s="1"/>
  <c r="O289" i="206"/>
  <c r="P289" i="206" s="1"/>
  <c r="O298" i="206"/>
  <c r="P298" i="206" s="1"/>
  <c r="O325" i="206"/>
  <c r="P325" i="206" s="1"/>
  <c r="U172" i="206"/>
  <c r="V172" i="206" s="1"/>
  <c r="U222" i="206"/>
  <c r="V222" i="206" s="1"/>
  <c r="U273" i="206"/>
  <c r="V273" i="206" s="1"/>
  <c r="U264" i="206"/>
  <c r="V264" i="206" s="1"/>
  <c r="R370" i="206"/>
  <c r="S370" i="206" s="1"/>
  <c r="R54" i="206"/>
  <c r="S54" i="206" s="1"/>
  <c r="R149" i="206"/>
  <c r="S149" i="206" s="1"/>
  <c r="U276" i="206"/>
  <c r="V276" i="206" s="1"/>
  <c r="U94" i="206"/>
  <c r="V94" i="206" s="1"/>
  <c r="U121" i="206"/>
  <c r="V121" i="206" s="1"/>
  <c r="U368" i="206"/>
  <c r="V368" i="206" s="1"/>
  <c r="U316" i="206"/>
  <c r="V316" i="206" s="1"/>
  <c r="U187" i="206"/>
  <c r="V187" i="206" s="1"/>
  <c r="U52" i="206"/>
  <c r="V52" i="206" s="1"/>
  <c r="U142" i="206"/>
  <c r="V142" i="206" s="1"/>
  <c r="U137" i="206"/>
  <c r="V137" i="206" s="1"/>
  <c r="U48" i="206"/>
  <c r="V48" i="206" s="1"/>
  <c r="U67" i="206"/>
  <c r="V67" i="206" s="1"/>
  <c r="U210" i="206"/>
  <c r="V210" i="206" s="1"/>
  <c r="U115" i="206"/>
  <c r="V115" i="206" s="1"/>
  <c r="U157" i="206"/>
  <c r="V157" i="206" s="1"/>
  <c r="U285" i="206"/>
  <c r="V285" i="206" s="1"/>
  <c r="U56" i="206"/>
  <c r="V56" i="206" s="1"/>
  <c r="U310" i="206"/>
  <c r="V310" i="206" s="1"/>
  <c r="U266" i="206"/>
  <c r="V266" i="206" s="1"/>
  <c r="U154" i="206"/>
  <c r="V154" i="206" s="1"/>
  <c r="U274" i="206"/>
  <c r="V274" i="206" s="1"/>
  <c r="U349" i="206"/>
  <c r="V349" i="206" s="1"/>
  <c r="U72" i="206"/>
  <c r="V72" i="206" s="1"/>
  <c r="U381" i="206"/>
  <c r="V381" i="206" s="1"/>
  <c r="U305" i="206"/>
  <c r="V305" i="206" s="1"/>
  <c r="U105" i="206"/>
  <c r="V105" i="206" s="1"/>
  <c r="U170" i="206"/>
  <c r="V170" i="206" s="1"/>
  <c r="U322" i="206"/>
  <c r="V322" i="206" s="1"/>
  <c r="U100" i="206"/>
  <c r="V100" i="206" s="1"/>
  <c r="U127" i="206"/>
  <c r="V127" i="206" s="1"/>
  <c r="U49" i="206"/>
  <c r="V49" i="206" s="1"/>
  <c r="U329" i="206"/>
  <c r="V329" i="206" s="1"/>
  <c r="U55" i="206"/>
  <c r="V55" i="206" s="1"/>
  <c r="U178" i="206"/>
  <c r="V178" i="206" s="1"/>
  <c r="U300" i="206"/>
  <c r="V300" i="206" s="1"/>
  <c r="U140" i="206"/>
  <c r="V140" i="206" s="1"/>
  <c r="U252" i="206"/>
  <c r="V252" i="206" s="1"/>
  <c r="U213" i="206"/>
  <c r="V213" i="206" s="1"/>
  <c r="U353" i="206"/>
  <c r="V353" i="206" s="1"/>
  <c r="U371" i="206"/>
  <c r="V371" i="206" s="1"/>
  <c r="U70" i="206"/>
  <c r="V70" i="206" s="1"/>
  <c r="U216" i="206"/>
  <c r="V216" i="206" s="1"/>
  <c r="U50" i="206"/>
  <c r="V50" i="206" s="1"/>
  <c r="U217" i="206"/>
  <c r="V217" i="206" s="1"/>
  <c r="U315" i="206"/>
  <c r="V315" i="206" s="1"/>
  <c r="U328" i="206"/>
  <c r="V328" i="206" s="1"/>
  <c r="R275" i="206"/>
  <c r="S275" i="206" s="1"/>
  <c r="R339" i="206"/>
  <c r="S339" i="206" s="1"/>
  <c r="R146" i="206"/>
  <c r="S146" i="206" s="1"/>
  <c r="R353" i="206"/>
  <c r="S353" i="206" s="1"/>
  <c r="R170" i="206"/>
  <c r="S170" i="206" s="1"/>
  <c r="R52" i="206"/>
  <c r="S52" i="206" s="1"/>
  <c r="R100" i="206"/>
  <c r="S100" i="206" s="1"/>
  <c r="R371" i="206"/>
  <c r="S371" i="206" s="1"/>
  <c r="R153" i="206"/>
  <c r="S153" i="206" s="1"/>
  <c r="R137" i="206"/>
  <c r="S137" i="206" s="1"/>
  <c r="R178" i="206"/>
  <c r="S178" i="206" s="1"/>
  <c r="R227" i="206"/>
  <c r="S227" i="206" s="1"/>
  <c r="R173" i="206"/>
  <c r="S173" i="206" s="1"/>
  <c r="R108" i="206"/>
  <c r="S108" i="206" s="1"/>
  <c r="R152" i="206"/>
  <c r="S152" i="206" s="1"/>
  <c r="R222" i="206"/>
  <c r="S222" i="206" s="1"/>
  <c r="R270" i="206"/>
  <c r="S270" i="206" s="1"/>
  <c r="R185" i="206"/>
  <c r="S185" i="206" s="1"/>
  <c r="R322" i="206"/>
  <c r="S322" i="206" s="1"/>
  <c r="R130" i="206"/>
  <c r="S130" i="206" s="1"/>
  <c r="R140" i="206"/>
  <c r="S140" i="206" s="1"/>
  <c r="R349" i="206"/>
  <c r="S349" i="206" s="1"/>
  <c r="R70" i="206"/>
  <c r="S70" i="206" s="1"/>
  <c r="R213" i="206"/>
  <c r="S213" i="206" s="1"/>
  <c r="R15" i="206"/>
  <c r="S15" i="206" s="1"/>
  <c r="R377" i="206"/>
  <c r="S377" i="206" s="1"/>
  <c r="R201" i="206"/>
  <c r="S201" i="206" s="1"/>
  <c r="R19" i="206"/>
  <c r="S19" i="206" s="1"/>
  <c r="R210" i="206"/>
  <c r="S210" i="206" s="1"/>
  <c r="R316" i="206"/>
  <c r="S316" i="206" s="1"/>
  <c r="R31" i="206"/>
  <c r="S31" i="206" s="1"/>
  <c r="R266" i="206"/>
  <c r="S266" i="206" s="1"/>
  <c r="R209" i="206"/>
  <c r="S209" i="206" s="1"/>
  <c r="R59" i="206"/>
  <c r="S59" i="206" s="1"/>
  <c r="R226" i="206"/>
  <c r="S226" i="206" s="1"/>
  <c r="R246" i="206"/>
  <c r="S246" i="206" s="1"/>
  <c r="R94" i="206"/>
  <c r="S94" i="206" s="1"/>
  <c r="R260" i="206"/>
  <c r="S260" i="206" s="1"/>
  <c r="R90" i="206"/>
  <c r="S90" i="206" s="1"/>
  <c r="R242" i="206"/>
  <c r="S242" i="206" s="1"/>
  <c r="R20" i="206"/>
  <c r="S20" i="206" s="1"/>
  <c r="R165" i="206"/>
  <c r="S165" i="206" s="1"/>
  <c r="R315" i="206"/>
  <c r="S315" i="206" s="1"/>
  <c r="O315" i="206"/>
  <c r="P315" i="206" s="1"/>
  <c r="O187" i="206"/>
  <c r="P187" i="206" s="1"/>
  <c r="O379" i="206"/>
  <c r="P379" i="206" s="1"/>
  <c r="O216" i="206"/>
  <c r="P216" i="206" s="1"/>
  <c r="O39" i="206"/>
  <c r="P39" i="206" s="1"/>
  <c r="O157" i="206"/>
  <c r="P157" i="206" s="1"/>
  <c r="O244" i="206"/>
  <c r="P244" i="206" s="1"/>
  <c r="O246" i="206"/>
  <c r="P246" i="206" s="1"/>
  <c r="O353" i="206"/>
  <c r="P353" i="206" s="1"/>
  <c r="O275" i="206"/>
  <c r="P275" i="206" s="1"/>
  <c r="O266" i="206"/>
  <c r="P266" i="206" s="1"/>
  <c r="O226" i="206"/>
  <c r="P226" i="206" s="1"/>
  <c r="O279" i="206"/>
  <c r="P279" i="206" s="1"/>
  <c r="O79" i="206"/>
  <c r="P79" i="206" s="1"/>
  <c r="O50" i="206"/>
  <c r="P50" i="206" s="1"/>
  <c r="O270" i="206"/>
  <c r="P270" i="206" s="1"/>
  <c r="O26" i="206"/>
  <c r="P26" i="206" s="1"/>
  <c r="O328" i="206"/>
  <c r="P328" i="206" s="1"/>
  <c r="O350" i="206"/>
  <c r="P350" i="206" s="1"/>
  <c r="O238" i="206"/>
  <c r="P238" i="206" s="1"/>
  <c r="O288" i="206"/>
  <c r="P288" i="206" s="1"/>
  <c r="O331" i="206"/>
  <c r="P331" i="206" s="1"/>
  <c r="O361" i="206"/>
  <c r="P361" i="206" s="1"/>
  <c r="O52" i="206"/>
  <c r="P52" i="206" s="1"/>
  <c r="O335" i="206"/>
  <c r="P335" i="206" s="1"/>
  <c r="O86" i="206"/>
  <c r="P86" i="206" s="1"/>
  <c r="O203" i="206"/>
  <c r="P203" i="206" s="1"/>
  <c r="O74" i="206"/>
  <c r="P74" i="206" s="1"/>
  <c r="O357" i="206"/>
  <c r="P357" i="206" s="1"/>
  <c r="O37" i="206"/>
  <c r="P37" i="206" s="1"/>
  <c r="O344" i="206"/>
  <c r="P344" i="206" s="1"/>
  <c r="O178" i="206"/>
  <c r="P178" i="206" s="1"/>
  <c r="O43" i="206"/>
  <c r="P43" i="206" s="1"/>
  <c r="O144" i="206"/>
  <c r="P144" i="206" s="1"/>
  <c r="O76" i="206"/>
  <c r="P76" i="206" s="1"/>
  <c r="O72" i="206"/>
  <c r="P72" i="206" s="1"/>
  <c r="O94" i="206"/>
  <c r="P94" i="206" s="1"/>
  <c r="O274" i="206"/>
  <c r="P274" i="206" s="1"/>
  <c r="O121" i="206"/>
  <c r="P121" i="206" s="1"/>
  <c r="O56" i="206"/>
  <c r="P56" i="206" s="1"/>
  <c r="O100" i="206"/>
  <c r="P100" i="206" s="1"/>
  <c r="O368" i="206"/>
  <c r="P368" i="206" s="1"/>
  <c r="O324" i="206"/>
  <c r="P324" i="206" s="1"/>
  <c r="O67" i="206"/>
  <c r="P67" i="206" s="1"/>
  <c r="O167" i="206"/>
  <c r="P167" i="206" s="1"/>
  <c r="O115" i="206"/>
  <c r="P115" i="206" s="1"/>
  <c r="O268" i="206"/>
  <c r="P268" i="206" s="1"/>
  <c r="O110" i="206"/>
  <c r="P110" i="206" s="1"/>
  <c r="O282" i="206"/>
  <c r="P282" i="206" s="1"/>
  <c r="O160" i="206"/>
  <c r="P160" i="206" s="1"/>
  <c r="O291" i="206"/>
  <c r="P291" i="206" s="1"/>
  <c r="O132" i="206"/>
  <c r="P132" i="206" s="1"/>
  <c r="O48" i="206"/>
  <c r="P48" i="206" s="1"/>
  <c r="O119" i="206"/>
  <c r="P119" i="206" s="1"/>
  <c r="O184" i="206"/>
  <c r="P184" i="206" s="1"/>
  <c r="O213" i="206"/>
  <c r="P213" i="206" s="1"/>
  <c r="O123" i="206"/>
  <c r="P123" i="206" s="1"/>
  <c r="O90" i="206"/>
  <c r="P90" i="206" s="1"/>
  <c r="O134" i="206"/>
  <c r="P134" i="206" s="1"/>
  <c r="O322" i="206"/>
  <c r="P322" i="206" s="1"/>
  <c r="O176" i="206"/>
  <c r="P176" i="206" s="1"/>
  <c r="O148" i="206"/>
  <c r="P148" i="206" s="1"/>
  <c r="O371" i="206"/>
  <c r="P371" i="206" s="1"/>
  <c r="O278" i="206"/>
  <c r="P278" i="206" s="1"/>
  <c r="O170" i="206"/>
  <c r="P170" i="206" s="1"/>
  <c r="O153" i="206"/>
  <c r="P153" i="206" s="1"/>
  <c r="O142" i="206"/>
  <c r="P142" i="206" s="1"/>
  <c r="O198" i="206"/>
  <c r="P198" i="206" s="1"/>
  <c r="O149" i="206"/>
  <c r="P149" i="206" s="1"/>
  <c r="O305" i="206"/>
  <c r="P305" i="206" s="1"/>
  <c r="O257" i="206"/>
  <c r="P257" i="206" s="1"/>
  <c r="O300" i="206"/>
  <c r="P300" i="206" s="1"/>
  <c r="O377" i="206"/>
  <c r="P377" i="206" s="1"/>
  <c r="O217" i="206"/>
  <c r="P217" i="206" s="1"/>
  <c r="O210" i="206"/>
  <c r="P210" i="206" s="1"/>
  <c r="R367" i="206"/>
  <c r="S367" i="206" s="1"/>
  <c r="R365" i="206"/>
  <c r="S365" i="206" s="1"/>
  <c r="R363" i="206"/>
  <c r="S363" i="206" s="1"/>
  <c r="R361" i="206"/>
  <c r="S361" i="206" s="1"/>
  <c r="R359" i="206"/>
  <c r="S359" i="206" s="1"/>
  <c r="R357" i="206"/>
  <c r="S357" i="206" s="1"/>
  <c r="R355" i="206"/>
  <c r="S355" i="206" s="1"/>
  <c r="R351" i="206"/>
  <c r="S351" i="206" s="1"/>
  <c r="R347" i="206"/>
  <c r="S347" i="206" s="1"/>
  <c r="R345" i="206"/>
  <c r="S345" i="206" s="1"/>
  <c r="R297" i="206"/>
  <c r="S297" i="206" s="1"/>
  <c r="R295" i="206"/>
  <c r="S295" i="206" s="1"/>
  <c r="R337" i="206"/>
  <c r="S337" i="206" s="1"/>
  <c r="R332" i="206"/>
  <c r="S332" i="206" s="1"/>
  <c r="R329" i="206"/>
  <c r="S329" i="206" s="1"/>
  <c r="R341" i="206"/>
  <c r="S341" i="206" s="1"/>
  <c r="R338" i="206"/>
  <c r="S338" i="206" s="1"/>
  <c r="R334" i="206"/>
  <c r="S334" i="206" s="1"/>
  <c r="R290" i="206"/>
  <c r="S290" i="206" s="1"/>
  <c r="R286" i="206"/>
  <c r="S286" i="206" s="1"/>
  <c r="R282" i="206"/>
  <c r="S282" i="206" s="1"/>
  <c r="R278" i="206"/>
  <c r="S278" i="206" s="1"/>
  <c r="R331" i="206"/>
  <c r="S331" i="206" s="1"/>
  <c r="R318" i="206"/>
  <c r="S318" i="206" s="1"/>
  <c r="R314" i="206"/>
  <c r="S314" i="206" s="1"/>
  <c r="R310" i="206"/>
  <c r="S310" i="206" s="1"/>
  <c r="R306" i="206"/>
  <c r="S306" i="206" s="1"/>
  <c r="R302" i="206"/>
  <c r="S302" i="206" s="1"/>
  <c r="R289" i="206"/>
  <c r="S289" i="206" s="1"/>
  <c r="R285" i="206"/>
  <c r="S285" i="206" s="1"/>
  <c r="R281" i="206"/>
  <c r="S281" i="206" s="1"/>
  <c r="R277" i="206"/>
  <c r="S277" i="206" s="1"/>
  <c r="R326" i="206"/>
  <c r="S326" i="206" s="1"/>
  <c r="R343" i="206"/>
  <c r="S343" i="206" s="1"/>
  <c r="R320" i="206"/>
  <c r="S320" i="206" s="1"/>
  <c r="R304" i="206"/>
  <c r="S304" i="206" s="1"/>
  <c r="R284" i="206"/>
  <c r="S284" i="206" s="1"/>
  <c r="R293" i="206"/>
  <c r="S293" i="206" s="1"/>
  <c r="R279" i="206"/>
  <c r="S279" i="206" s="1"/>
  <c r="R280" i="206"/>
  <c r="S280" i="206" s="1"/>
  <c r="R333" i="206"/>
  <c r="S333" i="206" s="1"/>
  <c r="R300" i="206"/>
  <c r="S300" i="206" s="1"/>
  <c r="R234" i="206"/>
  <c r="S234" i="206" s="1"/>
  <c r="R232" i="206"/>
  <c r="S232" i="206" s="1"/>
  <c r="R230" i="206"/>
  <c r="S230" i="206" s="1"/>
  <c r="R228" i="206"/>
  <c r="S228" i="206" s="1"/>
  <c r="R224" i="206"/>
  <c r="S224" i="206" s="1"/>
  <c r="R220" i="206"/>
  <c r="S220" i="206" s="1"/>
  <c r="R218" i="206"/>
  <c r="S218" i="206" s="1"/>
  <c r="R216" i="206"/>
  <c r="S216" i="206" s="1"/>
  <c r="R214" i="206"/>
  <c r="S214" i="206" s="1"/>
  <c r="R212" i="206"/>
  <c r="S212" i="206" s="1"/>
  <c r="R324" i="206"/>
  <c r="S324" i="206" s="1"/>
  <c r="R312" i="206"/>
  <c r="S312" i="206" s="1"/>
  <c r="R291" i="206"/>
  <c r="S291" i="206" s="1"/>
  <c r="R287" i="206"/>
  <c r="S287" i="206" s="1"/>
  <c r="R276" i="206"/>
  <c r="S276" i="206" s="1"/>
  <c r="R308" i="206"/>
  <c r="S308" i="206" s="1"/>
  <c r="R202" i="206"/>
  <c r="S202" i="206" s="1"/>
  <c r="R283" i="206"/>
  <c r="S283" i="206" s="1"/>
  <c r="R204" i="206"/>
  <c r="S204" i="206" s="1"/>
  <c r="R206" i="206"/>
  <c r="S206" i="206" s="1"/>
  <c r="R196" i="206"/>
  <c r="S196" i="206" s="1"/>
  <c r="R187" i="206"/>
  <c r="S187" i="206" s="1"/>
  <c r="R183" i="206"/>
  <c r="S183" i="206" s="1"/>
  <c r="R181" i="206"/>
  <c r="S181" i="206" s="1"/>
  <c r="R180" i="206"/>
  <c r="S180" i="206" s="1"/>
  <c r="R176" i="206"/>
  <c r="S176" i="206" s="1"/>
  <c r="R174" i="206"/>
  <c r="S174" i="206" s="1"/>
  <c r="R172" i="206"/>
  <c r="S172" i="206" s="1"/>
  <c r="R168" i="206"/>
  <c r="S168" i="206" s="1"/>
  <c r="R166" i="206"/>
  <c r="S166" i="206" s="1"/>
  <c r="R164" i="206"/>
  <c r="S164" i="206" s="1"/>
  <c r="R162" i="206"/>
  <c r="S162" i="206" s="1"/>
  <c r="R160" i="206"/>
  <c r="S160" i="206" s="1"/>
  <c r="R158" i="206"/>
  <c r="S158" i="206" s="1"/>
  <c r="R156" i="206"/>
  <c r="S156" i="206" s="1"/>
  <c r="R154" i="206"/>
  <c r="S154" i="206" s="1"/>
  <c r="R150" i="206"/>
  <c r="S150" i="206" s="1"/>
  <c r="R340" i="206"/>
  <c r="S340" i="206" s="1"/>
  <c r="R247" i="206"/>
  <c r="S247" i="206" s="1"/>
  <c r="R198" i="206"/>
  <c r="S198" i="206" s="1"/>
  <c r="R208" i="206"/>
  <c r="S208" i="206" s="1"/>
  <c r="R167" i="206"/>
  <c r="S167" i="206" s="1"/>
  <c r="R163" i="206"/>
  <c r="S163" i="206" s="1"/>
  <c r="R159" i="206"/>
  <c r="S159" i="206" s="1"/>
  <c r="R155" i="206"/>
  <c r="S155" i="206" s="1"/>
  <c r="R148" i="206"/>
  <c r="S148" i="206" s="1"/>
  <c r="R147" i="206"/>
  <c r="S147" i="206" s="1"/>
  <c r="R145" i="206"/>
  <c r="S145" i="206" s="1"/>
  <c r="R144" i="206"/>
  <c r="S144" i="206" s="1"/>
  <c r="R143" i="206"/>
  <c r="S143" i="206" s="1"/>
  <c r="R142" i="206"/>
  <c r="S142" i="206" s="1"/>
  <c r="R189" i="206"/>
  <c r="S189" i="206" s="1"/>
  <c r="R119" i="206"/>
  <c r="S119" i="206" s="1"/>
  <c r="R117" i="206"/>
  <c r="S117" i="206" s="1"/>
  <c r="R115" i="206"/>
  <c r="S115" i="206" s="1"/>
  <c r="R113" i="206"/>
  <c r="S113" i="206" s="1"/>
  <c r="R111" i="206"/>
  <c r="S111" i="206" s="1"/>
  <c r="R109" i="206"/>
  <c r="S109" i="206" s="1"/>
  <c r="R107" i="206"/>
  <c r="S107" i="206" s="1"/>
  <c r="R105" i="206"/>
  <c r="S105" i="206" s="1"/>
  <c r="R103" i="206"/>
  <c r="S103" i="206" s="1"/>
  <c r="R101" i="206"/>
  <c r="S101" i="206" s="1"/>
  <c r="R99" i="206"/>
  <c r="S99" i="206" s="1"/>
  <c r="R97" i="206"/>
  <c r="S97" i="206" s="1"/>
  <c r="R95" i="206"/>
  <c r="S95" i="206" s="1"/>
  <c r="R93" i="206"/>
  <c r="S93" i="206" s="1"/>
  <c r="R91" i="206"/>
  <c r="S91" i="206" s="1"/>
  <c r="R288" i="206"/>
  <c r="S288" i="206" s="1"/>
  <c r="R195" i="206"/>
  <c r="S195" i="206" s="1"/>
  <c r="R188" i="206"/>
  <c r="S188" i="206" s="1"/>
  <c r="R177" i="206"/>
  <c r="S177" i="206" s="1"/>
  <c r="R135" i="206"/>
  <c r="S135" i="206" s="1"/>
  <c r="R131" i="206"/>
  <c r="S131" i="206" s="1"/>
  <c r="R127" i="206"/>
  <c r="S127" i="206" s="1"/>
  <c r="R175" i="206"/>
  <c r="S175" i="206" s="1"/>
  <c r="R89" i="206"/>
  <c r="S89" i="206" s="1"/>
  <c r="R200" i="206"/>
  <c r="S200" i="206" s="1"/>
  <c r="R56" i="206"/>
  <c r="S56" i="206" s="1"/>
  <c r="R78" i="206"/>
  <c r="S78" i="206" s="1"/>
  <c r="R74" i="206"/>
  <c r="S74" i="206" s="1"/>
  <c r="R134" i="206"/>
  <c r="S134" i="206" s="1"/>
  <c r="R84" i="206"/>
  <c r="S84" i="206" s="1"/>
  <c r="R82" i="206"/>
  <c r="S82" i="206" s="1"/>
  <c r="R64" i="206"/>
  <c r="S64" i="206" s="1"/>
  <c r="R191" i="206"/>
  <c r="S191" i="206" s="1"/>
  <c r="R85" i="206"/>
  <c r="S85" i="206" s="1"/>
  <c r="R71" i="206"/>
  <c r="S71" i="206" s="1"/>
  <c r="R68" i="206"/>
  <c r="S68" i="206" s="1"/>
  <c r="R63" i="206"/>
  <c r="S63" i="206" s="1"/>
  <c r="R60" i="206"/>
  <c r="S60" i="206" s="1"/>
  <c r="R55" i="206"/>
  <c r="S55" i="206" s="1"/>
  <c r="R72" i="206"/>
  <c r="S72" i="206" s="1"/>
  <c r="R67" i="206"/>
  <c r="S67" i="206" s="1"/>
  <c r="R193" i="206"/>
  <c r="S193" i="206" s="1"/>
  <c r="R171" i="206"/>
  <c r="S171" i="206" s="1"/>
  <c r="R81" i="206"/>
  <c r="S81" i="206" s="1"/>
  <c r="R77" i="206"/>
  <c r="S77" i="206" s="1"/>
  <c r="R51" i="206"/>
  <c r="S51" i="206" s="1"/>
  <c r="R138" i="206"/>
  <c r="S138" i="206" s="1"/>
  <c r="R133" i="206"/>
  <c r="S133" i="206" s="1"/>
  <c r="R87" i="206"/>
  <c r="S87" i="206" s="1"/>
  <c r="R80" i="206"/>
  <c r="S80" i="206" s="1"/>
  <c r="R76" i="206"/>
  <c r="S76" i="206" s="1"/>
  <c r="R38" i="206"/>
  <c r="S38" i="206" s="1"/>
  <c r="R9" i="206"/>
  <c r="S9" i="206" s="1"/>
  <c r="R40" i="206"/>
  <c r="S40" i="206" s="1"/>
  <c r="R23" i="206"/>
  <c r="S23" i="206" s="1"/>
  <c r="R79" i="206"/>
  <c r="S79" i="206" s="1"/>
  <c r="R69" i="206"/>
  <c r="S69" i="206" s="1"/>
  <c r="R57" i="206"/>
  <c r="S57" i="206" s="1"/>
  <c r="R29" i="206"/>
  <c r="S29" i="206" s="1"/>
  <c r="R179" i="206"/>
  <c r="S179" i="206" s="1"/>
  <c r="R161" i="206"/>
  <c r="S161" i="206" s="1"/>
  <c r="R125" i="206"/>
  <c r="S125" i="206" s="1"/>
  <c r="R104" i="206"/>
  <c r="S104" i="206" s="1"/>
  <c r="R192" i="206"/>
  <c r="S192" i="206" s="1"/>
  <c r="R298" i="206"/>
  <c r="S298" i="206" s="1"/>
  <c r="R335" i="206"/>
  <c r="S335" i="206" s="1"/>
  <c r="R249" i="206"/>
  <c r="S249" i="206" s="1"/>
  <c r="R301" i="206"/>
  <c r="S301" i="206" s="1"/>
  <c r="R366" i="206"/>
  <c r="S366" i="206" s="1"/>
  <c r="R11" i="206"/>
  <c r="S11" i="206" s="1"/>
  <c r="R44" i="206"/>
  <c r="S44" i="206" s="1"/>
  <c r="R18" i="206"/>
  <c r="S18" i="206" s="1"/>
  <c r="R16" i="206"/>
  <c r="S16" i="206" s="1"/>
  <c r="R7" i="206"/>
  <c r="S7" i="206" s="1"/>
  <c r="R120" i="206"/>
  <c r="S120" i="206" s="1"/>
  <c r="R50" i="206"/>
  <c r="S50" i="206" s="1"/>
  <c r="R61" i="206"/>
  <c r="S61" i="206" s="1"/>
  <c r="R132" i="206"/>
  <c r="S132" i="206" s="1"/>
  <c r="R169" i="206"/>
  <c r="S169" i="206" s="1"/>
  <c r="R264" i="206"/>
  <c r="S264" i="206" s="1"/>
  <c r="R257" i="206"/>
  <c r="S257" i="206" s="1"/>
  <c r="R311" i="206"/>
  <c r="S311" i="206" s="1"/>
  <c r="R47" i="206"/>
  <c r="S47" i="206" s="1"/>
  <c r="R17" i="206"/>
  <c r="S17" i="206" s="1"/>
  <c r="R49" i="206"/>
  <c r="S49" i="206" s="1"/>
  <c r="R53" i="206"/>
  <c r="S53" i="206" s="1"/>
  <c r="R24" i="206"/>
  <c r="S24" i="206" s="1"/>
  <c r="R27" i="206"/>
  <c r="S27" i="206" s="1"/>
  <c r="R42" i="206"/>
  <c r="S42" i="206" s="1"/>
  <c r="R33" i="206"/>
  <c r="S33" i="206" s="1"/>
  <c r="R184" i="206"/>
  <c r="S184" i="206" s="1"/>
  <c r="R258" i="206"/>
  <c r="S258" i="206" s="1"/>
  <c r="R245" i="206"/>
  <c r="S245" i="206" s="1"/>
  <c r="R251" i="206"/>
  <c r="S251" i="206" s="1"/>
  <c r="R299" i="206"/>
  <c r="S299" i="206" s="1"/>
  <c r="R34" i="206"/>
  <c r="S34" i="206" s="1"/>
  <c r="R62" i="206"/>
  <c r="S62" i="206" s="1"/>
  <c r="R41" i="206"/>
  <c r="S41" i="206" s="1"/>
  <c r="R8" i="206"/>
  <c r="S8" i="206" s="1"/>
  <c r="R58" i="206"/>
  <c r="S58" i="206" s="1"/>
  <c r="R13" i="206"/>
  <c r="S13" i="206" s="1"/>
  <c r="R37" i="206"/>
  <c r="S37" i="206" s="1"/>
  <c r="R110" i="206"/>
  <c r="S110" i="206" s="1"/>
  <c r="R88" i="206"/>
  <c r="S88" i="206" s="1"/>
  <c r="R203" i="206"/>
  <c r="S203" i="206" s="1"/>
  <c r="R273" i="206"/>
  <c r="S273" i="206" s="1"/>
  <c r="R327" i="206"/>
  <c r="S327" i="206" s="1"/>
  <c r="R319" i="206"/>
  <c r="S319" i="206" s="1"/>
  <c r="R309" i="206"/>
  <c r="S309" i="206" s="1"/>
  <c r="R321" i="206"/>
  <c r="S321" i="206" s="1"/>
  <c r="R30" i="206"/>
  <c r="S30" i="206" s="1"/>
  <c r="R73" i="206"/>
  <c r="S73" i="206" s="1"/>
  <c r="R43" i="206"/>
  <c r="S43" i="206" s="1"/>
  <c r="R252" i="206"/>
  <c r="S252" i="206" s="1"/>
  <c r="R296" i="206"/>
  <c r="S296" i="206" s="1"/>
  <c r="R323" i="206"/>
  <c r="S323" i="206" s="1"/>
  <c r="R378" i="206"/>
  <c r="S378" i="206" s="1"/>
  <c r="R373" i="206"/>
  <c r="S373" i="206" s="1"/>
  <c r="R374" i="206"/>
  <c r="S374" i="206" s="1"/>
  <c r="R32" i="206"/>
  <c r="S32" i="206" s="1"/>
  <c r="R294" i="206"/>
  <c r="S294" i="206" s="1"/>
  <c r="R36" i="206"/>
  <c r="S36" i="206" s="1"/>
  <c r="R75" i="206"/>
  <c r="S75" i="206" s="1"/>
  <c r="R66" i="206"/>
  <c r="S66" i="206" s="1"/>
  <c r="R136" i="206"/>
  <c r="S136" i="206" s="1"/>
  <c r="R292" i="206"/>
  <c r="S292" i="206" s="1"/>
  <c r="R253" i="206"/>
  <c r="S253" i="206" s="1"/>
  <c r="R263" i="206"/>
  <c r="S263" i="206" s="1"/>
  <c r="R255" i="206"/>
  <c r="S255" i="206" s="1"/>
  <c r="R313" i="206"/>
  <c r="S313" i="206" s="1"/>
  <c r="R28" i="206"/>
  <c r="S28" i="206" s="1"/>
  <c r="R48" i="206"/>
  <c r="S48" i="206" s="1"/>
  <c r="R14" i="206"/>
  <c r="S14" i="206" s="1"/>
  <c r="R157" i="206"/>
  <c r="S157" i="206" s="1"/>
  <c r="R272" i="206"/>
  <c r="S272" i="206" s="1"/>
  <c r="R303" i="206"/>
  <c r="S303" i="206" s="1"/>
  <c r="R317" i="206"/>
  <c r="S317" i="206" s="1"/>
  <c r="R376" i="206"/>
  <c r="S376" i="206" s="1"/>
  <c r="R342" i="206"/>
  <c r="S342" i="206" s="1"/>
  <c r="R379" i="206"/>
  <c r="S379" i="206" s="1"/>
  <c r="R65" i="206"/>
  <c r="S65" i="206" s="1"/>
  <c r="R186" i="206"/>
  <c r="S186" i="206" s="1"/>
  <c r="R194" i="206"/>
  <c r="S194" i="206" s="1"/>
  <c r="R45" i="206"/>
  <c r="S45" i="206" s="1"/>
  <c r="R123" i="206"/>
  <c r="S123" i="206" s="1"/>
  <c r="R86" i="206"/>
  <c r="S86" i="206" s="1"/>
  <c r="R112" i="206"/>
  <c r="S112" i="206" s="1"/>
  <c r="R22" i="206"/>
  <c r="S22" i="206" s="1"/>
  <c r="R114" i="206"/>
  <c r="S114" i="206" s="1"/>
  <c r="R118" i="206"/>
  <c r="S118" i="206" s="1"/>
  <c r="R98" i="206"/>
  <c r="S98" i="206" s="1"/>
  <c r="R244" i="206"/>
  <c r="S244" i="206" s="1"/>
  <c r="R307" i="206"/>
  <c r="S307" i="206" s="1"/>
  <c r="R35" i="206"/>
  <c r="S35" i="206" s="1"/>
  <c r="R182" i="206"/>
  <c r="S182" i="206" s="1"/>
  <c r="R39" i="206"/>
  <c r="S39" i="206" s="1"/>
  <c r="R274" i="206"/>
  <c r="S274" i="206" s="1"/>
  <c r="R10" i="206"/>
  <c r="S10" i="206" s="1"/>
  <c r="R12" i="206"/>
  <c r="S12" i="206" s="1"/>
  <c r="R21" i="206"/>
  <c r="S21" i="206" s="1"/>
  <c r="R122" i="206"/>
  <c r="S122" i="206" s="1"/>
  <c r="R190" i="206"/>
  <c r="S190" i="206" s="1"/>
  <c r="R259" i="206"/>
  <c r="S259" i="206" s="1"/>
  <c r="R325" i="206"/>
  <c r="S325" i="206" s="1"/>
  <c r="R375" i="206"/>
  <c r="S375" i="206" s="1"/>
  <c r="R381" i="206"/>
  <c r="S381" i="206" s="1"/>
  <c r="R267" i="206"/>
  <c r="S267" i="206" s="1"/>
  <c r="R6" i="206"/>
  <c r="S6" i="206" s="1"/>
  <c r="R25" i="206"/>
  <c r="S25" i="206" s="1"/>
  <c r="R26" i="206"/>
  <c r="S26" i="206" s="1"/>
  <c r="R96" i="206"/>
  <c r="S96" i="206" s="1"/>
  <c r="R151" i="206"/>
  <c r="S151" i="206" s="1"/>
  <c r="R141" i="206"/>
  <c r="S141" i="206" s="1"/>
  <c r="R269" i="206"/>
  <c r="S269" i="206" s="1"/>
  <c r="R368" i="206"/>
  <c r="S368" i="206" s="1"/>
  <c r="R46" i="206"/>
  <c r="S46" i="206" s="1"/>
  <c r="R261" i="206"/>
  <c r="S261" i="206" s="1"/>
  <c r="R305" i="206"/>
  <c r="S305" i="206" s="1"/>
  <c r="R128" i="206"/>
  <c r="S128" i="206" s="1"/>
  <c r="R121" i="206"/>
  <c r="S121" i="206" s="1"/>
  <c r="R369" i="206"/>
  <c r="S369" i="206" s="1"/>
  <c r="R233" i="206"/>
  <c r="S233" i="206" s="1"/>
  <c r="R382" i="206"/>
  <c r="S382" i="206" s="1"/>
  <c r="R211" i="206"/>
  <c r="S211" i="206" s="1"/>
  <c r="R360" i="206"/>
  <c r="S360" i="206" s="1"/>
  <c r="R364" i="206"/>
  <c r="S364" i="206" s="1"/>
  <c r="R328" i="206"/>
  <c r="S328" i="206" s="1"/>
  <c r="R237" i="206"/>
  <c r="S237" i="206" s="1"/>
  <c r="R354" i="206"/>
  <c r="S354" i="206" s="1"/>
  <c r="R240" i="206"/>
  <c r="S240" i="206" s="1"/>
  <c r="R199" i="206"/>
  <c r="S199" i="206" s="1"/>
  <c r="R225" i="206"/>
  <c r="S225" i="206" s="1"/>
  <c r="R250" i="206"/>
  <c r="S250" i="206" s="1"/>
  <c r="R271" i="206"/>
  <c r="S271" i="206" s="1"/>
  <c r="R106" i="206"/>
  <c r="S106" i="206" s="1"/>
  <c r="R241" i="206"/>
  <c r="S241" i="206" s="1"/>
  <c r="R215" i="206"/>
  <c r="S215" i="206" s="1"/>
  <c r="R236" i="206"/>
  <c r="S236" i="206" s="1"/>
  <c r="R197" i="206"/>
  <c r="S197" i="206" s="1"/>
  <c r="R102" i="206"/>
  <c r="S102" i="206" s="1"/>
  <c r="R221" i="206"/>
  <c r="S221" i="206" s="1"/>
  <c r="R126" i="206"/>
  <c r="S126" i="206" s="1"/>
  <c r="R336" i="206"/>
  <c r="S336" i="206" s="1"/>
  <c r="R346" i="206"/>
  <c r="S346" i="206" s="1"/>
  <c r="R231" i="206"/>
  <c r="S231" i="206" s="1"/>
  <c r="R352" i="206"/>
  <c r="S352" i="206" s="1"/>
  <c r="R205" i="206"/>
  <c r="S205" i="206" s="1"/>
  <c r="R254" i="206"/>
  <c r="S254" i="206" s="1"/>
  <c r="R92" i="206"/>
  <c r="S92" i="206" s="1"/>
  <c r="R207" i="206"/>
  <c r="S207" i="206" s="1"/>
  <c r="R405" i="206"/>
  <c r="S405" i="206" s="1"/>
  <c r="R229" i="206"/>
  <c r="S229" i="206" s="1"/>
  <c r="R235" i="206"/>
  <c r="S235" i="206" s="1"/>
  <c r="R219" i="206"/>
  <c r="S219" i="206" s="1"/>
  <c r="R383" i="206"/>
  <c r="S383" i="206" s="1"/>
  <c r="R372" i="206"/>
  <c r="S372" i="206" s="1"/>
  <c r="R116" i="206"/>
  <c r="S116" i="206" s="1"/>
  <c r="R380" i="206"/>
  <c r="S380" i="206" s="1"/>
  <c r="R406" i="206"/>
  <c r="S406" i="206" s="1"/>
  <c r="R348" i="206"/>
  <c r="S348" i="206" s="1"/>
  <c r="R243" i="206"/>
  <c r="S243" i="206" s="1"/>
  <c r="R83" i="206"/>
  <c r="S83" i="206" s="1"/>
  <c r="R362" i="206"/>
  <c r="S362" i="206" s="1"/>
  <c r="R358" i="206"/>
  <c r="S358" i="206" s="1"/>
  <c r="R217" i="206"/>
  <c r="S217" i="206" s="1"/>
  <c r="R124" i="206"/>
  <c r="S124" i="206" s="1"/>
  <c r="R268" i="206"/>
  <c r="S268" i="206" s="1"/>
  <c r="R262" i="206"/>
  <c r="S262" i="206" s="1"/>
  <c r="R238" i="206"/>
  <c r="S238" i="206" s="1"/>
  <c r="R344" i="206"/>
  <c r="S344" i="206" s="1"/>
  <c r="R248" i="206"/>
  <c r="S248" i="206" s="1"/>
  <c r="R404" i="206"/>
  <c r="S404" i="206" s="1"/>
  <c r="R239" i="206"/>
  <c r="S239" i="206" s="1"/>
  <c r="R350" i="206"/>
  <c r="S350" i="206" s="1"/>
  <c r="R330" i="206"/>
  <c r="S330" i="206" s="1"/>
  <c r="R356" i="206"/>
  <c r="S356" i="206" s="1"/>
  <c r="R256" i="206"/>
  <c r="S256" i="206" s="1"/>
  <c r="R223" i="206"/>
  <c r="S223" i="206" s="1"/>
  <c r="O406" i="206"/>
  <c r="P406" i="206" s="1"/>
  <c r="O369" i="206"/>
  <c r="P369" i="206" s="1"/>
  <c r="O363" i="206"/>
  <c r="P363" i="206" s="1"/>
  <c r="O355" i="206"/>
  <c r="P355" i="206" s="1"/>
  <c r="O373" i="206"/>
  <c r="P373" i="206" s="1"/>
  <c r="O349" i="206"/>
  <c r="P349" i="206" s="1"/>
  <c r="O347" i="206"/>
  <c r="P347" i="206" s="1"/>
  <c r="O374" i="206"/>
  <c r="P374" i="206" s="1"/>
  <c r="O351" i="206"/>
  <c r="P351" i="206" s="1"/>
  <c r="O345" i="206"/>
  <c r="P345" i="206" s="1"/>
  <c r="O359" i="206"/>
  <c r="P359" i="206" s="1"/>
  <c r="O365" i="206"/>
  <c r="P365" i="206" s="1"/>
  <c r="O269" i="206"/>
  <c r="P269" i="206" s="1"/>
  <c r="O220" i="206"/>
  <c r="P220" i="206" s="1"/>
  <c r="O208" i="206"/>
  <c r="P208" i="206" s="1"/>
  <c r="O267" i="206"/>
  <c r="P267" i="206" s="1"/>
  <c r="O236" i="206"/>
  <c r="P236" i="206" s="1"/>
  <c r="O234" i="206"/>
  <c r="P234" i="206" s="1"/>
  <c r="O232" i="206"/>
  <c r="P232" i="206" s="1"/>
  <c r="O230" i="206"/>
  <c r="P230" i="206" s="1"/>
  <c r="O228" i="206"/>
  <c r="P228" i="206" s="1"/>
  <c r="O259" i="206"/>
  <c r="P259" i="206" s="1"/>
  <c r="O240" i="206"/>
  <c r="P240" i="206" s="1"/>
  <c r="O224" i="206"/>
  <c r="P224" i="206" s="1"/>
  <c r="O204" i="206"/>
  <c r="P204" i="206" s="1"/>
  <c r="O272" i="206"/>
  <c r="P272" i="206" s="1"/>
  <c r="O253" i="206"/>
  <c r="P253" i="206" s="1"/>
  <c r="O113" i="206"/>
  <c r="P113" i="206" s="1"/>
  <c r="O95" i="206"/>
  <c r="P95" i="206" s="1"/>
  <c r="O80" i="206"/>
  <c r="P80" i="206" s="1"/>
  <c r="O62" i="206"/>
  <c r="P62" i="206" s="1"/>
  <c r="O54" i="206"/>
  <c r="P54" i="206" s="1"/>
  <c r="O111" i="206"/>
  <c r="P111" i="206" s="1"/>
  <c r="O89" i="206"/>
  <c r="P89" i="206" s="1"/>
  <c r="O91" i="206"/>
  <c r="P91" i="206" s="1"/>
  <c r="O87" i="206"/>
  <c r="P87" i="206" s="1"/>
  <c r="O125" i="206"/>
  <c r="P125" i="206" s="1"/>
  <c r="O117" i="206"/>
  <c r="P117" i="206" s="1"/>
  <c r="O93" i="206"/>
  <c r="P93" i="206" s="1"/>
  <c r="O82" i="206"/>
  <c r="P82" i="206" s="1"/>
  <c r="O78" i="206"/>
  <c r="P78" i="206" s="1"/>
  <c r="O66" i="206"/>
  <c r="P66" i="206" s="1"/>
  <c r="O58" i="206"/>
  <c r="P58" i="206" s="1"/>
  <c r="O22" i="206"/>
  <c r="P22" i="206" s="1"/>
  <c r="O20" i="206"/>
  <c r="P20" i="206" s="1"/>
  <c r="O18" i="206"/>
  <c r="P18" i="206" s="1"/>
  <c r="O97" i="206"/>
  <c r="P97" i="206" s="1"/>
  <c r="O107" i="206"/>
  <c r="P107" i="206" s="1"/>
  <c r="O109" i="206"/>
  <c r="P109" i="206" s="1"/>
  <c r="O101" i="206"/>
  <c r="P101" i="206" s="1"/>
  <c r="O6" i="206"/>
  <c r="P6" i="206" s="1"/>
  <c r="O195" i="206"/>
  <c r="P195" i="206" s="1"/>
  <c r="O158" i="206"/>
  <c r="P158" i="206" s="1"/>
  <c r="O199" i="206"/>
  <c r="P199" i="206" s="1"/>
  <c r="O261" i="206"/>
  <c r="P261" i="206" s="1"/>
  <c r="O295" i="206"/>
  <c r="P295" i="206" s="1"/>
  <c r="O310" i="206"/>
  <c r="P310" i="206" s="1"/>
  <c r="O404" i="206"/>
  <c r="P404" i="206" s="1"/>
  <c r="O293" i="206"/>
  <c r="P293" i="206" s="1"/>
  <c r="O15" i="206"/>
  <c r="P15" i="206" s="1"/>
  <c r="O73" i="206"/>
  <c r="P73" i="206" s="1"/>
  <c r="O33" i="206"/>
  <c r="P33" i="206" s="1"/>
  <c r="O247" i="206"/>
  <c r="P247" i="206" s="1"/>
  <c r="O63" i="206"/>
  <c r="P63" i="206" s="1"/>
  <c r="O202" i="206"/>
  <c r="P202" i="206" s="1"/>
  <c r="O150" i="206"/>
  <c r="P150" i="206" s="1"/>
  <c r="O245" i="206"/>
  <c r="P245" i="206" s="1"/>
  <c r="O180" i="206"/>
  <c r="P180" i="206" s="1"/>
  <c r="O162" i="206"/>
  <c r="P162" i="206" s="1"/>
  <c r="O297" i="206"/>
  <c r="P297" i="206" s="1"/>
  <c r="O277" i="206"/>
  <c r="P277" i="206" s="1"/>
  <c r="O337" i="206"/>
  <c r="P337" i="206" s="1"/>
  <c r="O286" i="206"/>
  <c r="P286" i="206" s="1"/>
  <c r="O316" i="206"/>
  <c r="P316" i="206" s="1"/>
  <c r="O14" i="206"/>
  <c r="P14" i="206" s="1"/>
  <c r="O45" i="206"/>
  <c r="P45" i="206" s="1"/>
  <c r="O23" i="206"/>
  <c r="P23" i="206" s="1"/>
  <c r="O83" i="206"/>
  <c r="P83" i="206" s="1"/>
  <c r="O9" i="206"/>
  <c r="P9" i="206" s="1"/>
  <c r="O193" i="206"/>
  <c r="P193" i="206" s="1"/>
  <c r="O173" i="206"/>
  <c r="P173" i="206" s="1"/>
  <c r="O51" i="206"/>
  <c r="P51" i="206" s="1"/>
  <c r="O169" i="206"/>
  <c r="P169" i="206" s="1"/>
  <c r="O156" i="206"/>
  <c r="P156" i="206" s="1"/>
  <c r="O172" i="206"/>
  <c r="P172" i="206" s="1"/>
  <c r="O146" i="206"/>
  <c r="P146" i="206" s="1"/>
  <c r="O191" i="206"/>
  <c r="P191" i="206" s="1"/>
  <c r="O182" i="206"/>
  <c r="P182" i="206" s="1"/>
  <c r="O326" i="206"/>
  <c r="P326" i="206" s="1"/>
  <c r="O339" i="206"/>
  <c r="P339" i="206" s="1"/>
  <c r="O311" i="206"/>
  <c r="P311" i="206" s="1"/>
  <c r="O314" i="206"/>
  <c r="P314" i="206" s="1"/>
  <c r="O68" i="206"/>
  <c r="P68" i="206" s="1"/>
  <c r="O17" i="206"/>
  <c r="P17" i="206" s="1"/>
  <c r="O75" i="206"/>
  <c r="P75" i="206" s="1"/>
  <c r="O77" i="206"/>
  <c r="P77" i="206" s="1"/>
  <c r="O196" i="206"/>
  <c r="P196" i="206" s="1"/>
  <c r="O145" i="206"/>
  <c r="P145" i="206" s="1"/>
  <c r="O192" i="206"/>
  <c r="P192" i="206" s="1"/>
  <c r="O159" i="206"/>
  <c r="P159" i="206" s="1"/>
  <c r="O200" i="206"/>
  <c r="P200" i="206" s="1"/>
  <c r="O334" i="206"/>
  <c r="P334" i="206" s="1"/>
  <c r="O317" i="206"/>
  <c r="P317" i="206" s="1"/>
  <c r="O292" i="206"/>
  <c r="P292" i="206" s="1"/>
  <c r="O340" i="206"/>
  <c r="P340" i="206" s="1"/>
  <c r="O65" i="206"/>
  <c r="P65" i="206" s="1"/>
  <c r="O41" i="206"/>
  <c r="P41" i="206" s="1"/>
  <c r="O49" i="206"/>
  <c r="P49" i="206" s="1"/>
  <c r="O133" i="206"/>
  <c r="P133" i="206" s="1"/>
  <c r="O186" i="206"/>
  <c r="P186" i="206" s="1"/>
  <c r="O323" i="206"/>
  <c r="P323" i="206" s="1"/>
  <c r="O312" i="206"/>
  <c r="P312" i="206" s="1"/>
  <c r="O284" i="206"/>
  <c r="P284" i="206" s="1"/>
  <c r="O280" i="206"/>
  <c r="P280" i="206" s="1"/>
  <c r="O19" i="206"/>
  <c r="P19" i="206" s="1"/>
  <c r="O12" i="206"/>
  <c r="P12" i="206" s="1"/>
  <c r="O161" i="206"/>
  <c r="P161" i="206" s="1"/>
  <c r="O143" i="206"/>
  <c r="P143" i="206" s="1"/>
  <c r="O155" i="206"/>
  <c r="P155" i="206" s="1"/>
  <c r="O171" i="206"/>
  <c r="P171" i="206" s="1"/>
  <c r="O206" i="206"/>
  <c r="P206" i="206" s="1"/>
  <c r="O255" i="206"/>
  <c r="P255" i="206" s="1"/>
  <c r="O281" i="206"/>
  <c r="P281" i="206" s="1"/>
  <c r="O338" i="206"/>
  <c r="P338" i="206" s="1"/>
  <c r="O290" i="206"/>
  <c r="P290" i="206" s="1"/>
  <c r="O64" i="206"/>
  <c r="P64" i="206" s="1"/>
  <c r="O57" i="206"/>
  <c r="P57" i="206" s="1"/>
  <c r="O81" i="206"/>
  <c r="P81" i="206" s="1"/>
  <c r="O151" i="206"/>
  <c r="P151" i="206" s="1"/>
  <c r="O163" i="206"/>
  <c r="P163" i="206" s="1"/>
  <c r="O175" i="206"/>
  <c r="P175" i="206" s="1"/>
  <c r="O212" i="206"/>
  <c r="P212" i="206" s="1"/>
  <c r="O332" i="206"/>
  <c r="P332" i="206" s="1"/>
  <c r="O179" i="206"/>
  <c r="P179" i="206" s="1"/>
  <c r="O13" i="206"/>
  <c r="P13" i="206" s="1"/>
  <c r="O218" i="206"/>
  <c r="P218" i="206" s="1"/>
  <c r="O174" i="206"/>
  <c r="P174" i="206" s="1"/>
  <c r="O188" i="206"/>
  <c r="P188" i="206" s="1"/>
  <c r="O177" i="206"/>
  <c r="P177" i="206" s="1"/>
  <c r="O181" i="206"/>
  <c r="P181" i="206" s="1"/>
  <c r="O168" i="206"/>
  <c r="P168" i="206" s="1"/>
  <c r="O319" i="206"/>
  <c r="P319" i="206" s="1"/>
  <c r="O320" i="206"/>
  <c r="P320" i="206" s="1"/>
  <c r="O154" i="206"/>
  <c r="P154" i="206" s="1"/>
  <c r="O47" i="206"/>
  <c r="P47" i="206" s="1"/>
  <c r="O308" i="206"/>
  <c r="P308" i="206" s="1"/>
  <c r="O190" i="206"/>
  <c r="P190" i="206" s="1"/>
  <c r="O185" i="206"/>
  <c r="P185" i="206" s="1"/>
  <c r="O183" i="206"/>
  <c r="P183" i="206" s="1"/>
  <c r="O194" i="206"/>
  <c r="P194" i="206" s="1"/>
  <c r="O309" i="206"/>
  <c r="P309" i="206" s="1"/>
  <c r="O307" i="206"/>
  <c r="P307" i="206" s="1"/>
  <c r="O318" i="206"/>
  <c r="P318" i="206" s="1"/>
  <c r="O60" i="206"/>
  <c r="P60" i="206" s="1"/>
  <c r="O35" i="206"/>
  <c r="P35" i="206" s="1"/>
  <c r="O29" i="206"/>
  <c r="P29" i="206" s="1"/>
  <c r="O189" i="206"/>
  <c r="P189" i="206" s="1"/>
  <c r="O249" i="206"/>
  <c r="P249" i="206" s="1"/>
  <c r="O209" i="206"/>
  <c r="P209" i="206" s="1"/>
  <c r="O321" i="206"/>
  <c r="P321" i="206" s="1"/>
  <c r="O333" i="206"/>
  <c r="P333" i="206" s="1"/>
  <c r="O233" i="206"/>
  <c r="P233" i="206" s="1"/>
  <c r="O24" i="206"/>
  <c r="P24" i="206" s="1"/>
  <c r="O88" i="206"/>
  <c r="P88" i="206" s="1"/>
  <c r="O126" i="206"/>
  <c r="P126" i="206" s="1"/>
  <c r="O362" i="206"/>
  <c r="P362" i="206" s="1"/>
  <c r="O112" i="206"/>
  <c r="P112" i="206" s="1"/>
  <c r="O382" i="206"/>
  <c r="P382" i="206" s="1"/>
  <c r="O205" i="206"/>
  <c r="P205" i="206" s="1"/>
  <c r="O260" i="206"/>
  <c r="P260" i="206" s="1"/>
  <c r="O44" i="206"/>
  <c r="P44" i="206" s="1"/>
  <c r="O248" i="206"/>
  <c r="P248" i="206" s="1"/>
  <c r="O229" i="206"/>
  <c r="P229" i="206" s="1"/>
  <c r="O258" i="206"/>
  <c r="P258" i="206" s="1"/>
  <c r="O36" i="206"/>
  <c r="P36" i="206" s="1"/>
  <c r="O221" i="206"/>
  <c r="P221" i="206" s="1"/>
  <c r="O380" i="206"/>
  <c r="P380" i="206" s="1"/>
  <c r="O96" i="206"/>
  <c r="P96" i="206" s="1"/>
  <c r="O352" i="206"/>
  <c r="P352" i="206" s="1"/>
  <c r="O364" i="206"/>
  <c r="P364" i="206" s="1"/>
  <c r="O116" i="206"/>
  <c r="P116" i="206" s="1"/>
  <c r="O273" i="206"/>
  <c r="P273" i="206" s="1"/>
  <c r="O231" i="206"/>
  <c r="P231" i="206" s="1"/>
  <c r="O239" i="206"/>
  <c r="P239" i="206" s="1"/>
  <c r="O120" i="206"/>
  <c r="P120" i="206" s="1"/>
  <c r="O46" i="206"/>
  <c r="P46" i="206" s="1"/>
  <c r="O256" i="206"/>
  <c r="P256" i="206" s="1"/>
  <c r="O114" i="206"/>
  <c r="P114" i="206" s="1"/>
  <c r="O372" i="206"/>
  <c r="P372" i="206" s="1"/>
  <c r="O108" i="206"/>
  <c r="P108" i="206" s="1"/>
  <c r="O354" i="206"/>
  <c r="P354" i="206" s="1"/>
  <c r="O360" i="206"/>
  <c r="P360" i="206" s="1"/>
  <c r="O32" i="206"/>
  <c r="P32" i="206" s="1"/>
  <c r="O330" i="206"/>
  <c r="P330" i="206" s="1"/>
  <c r="O53" i="206"/>
  <c r="P53" i="206" s="1"/>
  <c r="O28" i="206"/>
  <c r="P28" i="206" s="1"/>
  <c r="O211" i="206"/>
  <c r="P211" i="206" s="1"/>
  <c r="O250" i="206"/>
  <c r="P250" i="206" s="1"/>
  <c r="O219" i="206"/>
  <c r="P219" i="206" s="1"/>
  <c r="O69" i="206"/>
  <c r="P69" i="206" s="1"/>
  <c r="O40" i="206"/>
  <c r="P40" i="206" s="1"/>
  <c r="O237" i="206"/>
  <c r="P237" i="206" s="1"/>
  <c r="O348" i="206"/>
  <c r="P348" i="206" s="1"/>
  <c r="O215" i="206"/>
  <c r="P215" i="206" s="1"/>
  <c r="O235" i="206"/>
  <c r="P235" i="206" s="1"/>
  <c r="O356" i="206"/>
  <c r="P356" i="206" s="1"/>
  <c r="O227" i="206"/>
  <c r="P227" i="206" s="1"/>
  <c r="O207" i="206"/>
  <c r="P207" i="206" s="1"/>
  <c r="O38" i="206"/>
  <c r="P38" i="206" s="1"/>
  <c r="O405" i="206"/>
  <c r="P405" i="206" s="1"/>
  <c r="O124" i="206"/>
  <c r="P124" i="206" s="1"/>
  <c r="O61" i="206"/>
  <c r="P61" i="206" s="1"/>
  <c r="O262" i="206"/>
  <c r="P262" i="206" s="1"/>
  <c r="O254" i="206"/>
  <c r="P254" i="206" s="1"/>
  <c r="O241" i="206"/>
  <c r="P241" i="206" s="1"/>
  <c r="O92" i="206"/>
  <c r="P92" i="206" s="1"/>
  <c r="O336" i="206"/>
  <c r="P336" i="206" s="1"/>
  <c r="O118" i="206"/>
  <c r="P118" i="206" s="1"/>
  <c r="O358" i="206"/>
  <c r="P358" i="206" s="1"/>
  <c r="O342" i="206"/>
  <c r="P342" i="206" s="1"/>
  <c r="O122" i="206"/>
  <c r="P122" i="206" s="1"/>
  <c r="O346" i="206"/>
  <c r="P346" i="206" s="1"/>
  <c r="O225" i="206"/>
  <c r="P225" i="206" s="1"/>
  <c r="O271" i="206"/>
  <c r="P271" i="206" s="1"/>
  <c r="O102" i="206"/>
  <c r="P102" i="206" s="1"/>
  <c r="U331" i="206"/>
  <c r="V331" i="206" s="1"/>
  <c r="U289" i="206"/>
  <c r="V289" i="206" s="1"/>
  <c r="U281" i="206"/>
  <c r="V281" i="206" s="1"/>
  <c r="U277" i="206"/>
  <c r="V277" i="206" s="1"/>
  <c r="U335" i="206"/>
  <c r="V335" i="206" s="1"/>
  <c r="U297" i="206"/>
  <c r="V297" i="206" s="1"/>
  <c r="U295" i="206"/>
  <c r="V295" i="206" s="1"/>
  <c r="U293" i="206"/>
  <c r="V293" i="206" s="1"/>
  <c r="U288" i="206"/>
  <c r="V288" i="206" s="1"/>
  <c r="U284" i="206"/>
  <c r="V284" i="206" s="1"/>
  <c r="U280" i="206"/>
  <c r="V280" i="206" s="1"/>
  <c r="U333" i="206"/>
  <c r="V333" i="206" s="1"/>
  <c r="U290" i="206"/>
  <c r="V290" i="206" s="1"/>
  <c r="U291" i="206"/>
  <c r="V291" i="206" s="1"/>
  <c r="U286" i="206"/>
  <c r="V286" i="206" s="1"/>
  <c r="U275" i="206"/>
  <c r="V275" i="206" s="1"/>
  <c r="U287" i="206"/>
  <c r="V287" i="206" s="1"/>
  <c r="U265" i="206"/>
  <c r="V265" i="206" s="1"/>
  <c r="U263" i="206"/>
  <c r="V263" i="206" s="1"/>
  <c r="U251" i="206"/>
  <c r="V251" i="206" s="1"/>
  <c r="U282" i="206"/>
  <c r="V282" i="206" s="1"/>
  <c r="U283" i="206"/>
  <c r="V283" i="206" s="1"/>
  <c r="U267" i="206"/>
  <c r="V267" i="206" s="1"/>
  <c r="U259" i="206"/>
  <c r="V259" i="206" s="1"/>
  <c r="U196" i="206"/>
  <c r="V196" i="206" s="1"/>
  <c r="U278" i="206"/>
  <c r="V278" i="206" s="1"/>
  <c r="U198" i="206"/>
  <c r="V198" i="206" s="1"/>
  <c r="U247" i="206"/>
  <c r="V247" i="206" s="1"/>
  <c r="U279" i="206"/>
  <c r="V279" i="206" s="1"/>
  <c r="U200" i="206"/>
  <c r="V200" i="206" s="1"/>
  <c r="U176" i="206"/>
  <c r="V176" i="206" s="1"/>
  <c r="U150" i="206"/>
  <c r="V150" i="206" s="1"/>
  <c r="U192" i="206"/>
  <c r="V192" i="206" s="1"/>
  <c r="U168" i="206"/>
  <c r="V168" i="206" s="1"/>
  <c r="U164" i="206"/>
  <c r="V164" i="206" s="1"/>
  <c r="U160" i="206"/>
  <c r="V160" i="206" s="1"/>
  <c r="U156" i="206"/>
  <c r="V156" i="206" s="1"/>
  <c r="U152" i="206"/>
  <c r="V152" i="206" s="1"/>
  <c r="U139" i="206"/>
  <c r="V139" i="206" s="1"/>
  <c r="U185" i="206"/>
  <c r="V185" i="206" s="1"/>
  <c r="U190" i="206"/>
  <c r="V190" i="206" s="1"/>
  <c r="U181" i="206"/>
  <c r="V181" i="206" s="1"/>
  <c r="U138" i="206"/>
  <c r="V138" i="206" s="1"/>
  <c r="U134" i="206"/>
  <c r="V134" i="206" s="1"/>
  <c r="U130" i="206"/>
  <c r="V130" i="206" s="1"/>
  <c r="U327" i="206"/>
  <c r="V327" i="206" s="1"/>
  <c r="U174" i="206"/>
  <c r="V174" i="206" s="1"/>
  <c r="U255" i="206"/>
  <c r="V255" i="206" s="1"/>
  <c r="U147" i="206"/>
  <c r="V147" i="206" s="1"/>
  <c r="U145" i="206"/>
  <c r="V145" i="206" s="1"/>
  <c r="U143" i="206"/>
  <c r="V143" i="206" s="1"/>
  <c r="U158" i="206"/>
  <c r="V158" i="206" s="1"/>
  <c r="U136" i="206"/>
  <c r="V136" i="206" s="1"/>
  <c r="U99" i="206"/>
  <c r="V99" i="206" s="1"/>
  <c r="U84" i="206"/>
  <c r="V84" i="206" s="1"/>
  <c r="U82" i="206"/>
  <c r="V82" i="206" s="1"/>
  <c r="U132" i="206"/>
  <c r="V132" i="206" s="1"/>
  <c r="U125" i="206"/>
  <c r="V125" i="206" s="1"/>
  <c r="U117" i="206"/>
  <c r="V117" i="206" s="1"/>
  <c r="U93" i="206"/>
  <c r="V93" i="206" s="1"/>
  <c r="U180" i="206"/>
  <c r="V180" i="206" s="1"/>
  <c r="U78" i="206"/>
  <c r="V78" i="206" s="1"/>
  <c r="U74" i="206"/>
  <c r="V74" i="206" s="1"/>
  <c r="U128" i="206"/>
  <c r="V128" i="206" s="1"/>
  <c r="U109" i="206"/>
  <c r="V109" i="206" s="1"/>
  <c r="U103" i="206"/>
  <c r="V103" i="206" s="1"/>
  <c r="U89" i="206"/>
  <c r="V89" i="206" s="1"/>
  <c r="U119" i="206"/>
  <c r="V119" i="206" s="1"/>
  <c r="U133" i="206"/>
  <c r="V133" i="206" s="1"/>
  <c r="U123" i="206"/>
  <c r="V123" i="206" s="1"/>
  <c r="U97" i="206"/>
  <c r="V97" i="206" s="1"/>
  <c r="U91" i="206"/>
  <c r="V91" i="206" s="1"/>
  <c r="U87" i="206"/>
  <c r="V87" i="206" s="1"/>
  <c r="U76" i="206"/>
  <c r="V76" i="206" s="1"/>
  <c r="U62" i="206"/>
  <c r="V62" i="206" s="1"/>
  <c r="U54" i="206"/>
  <c r="V54" i="206" s="1"/>
  <c r="U194" i="206"/>
  <c r="V194" i="206" s="1"/>
  <c r="U111" i="206"/>
  <c r="V111" i="206" s="1"/>
  <c r="U166" i="206"/>
  <c r="V166" i="206" s="1"/>
  <c r="U129" i="206"/>
  <c r="V129" i="206" s="1"/>
  <c r="U107" i="206"/>
  <c r="V107" i="206" s="1"/>
  <c r="U101" i="206"/>
  <c r="V101" i="206" s="1"/>
  <c r="U141" i="206"/>
  <c r="V141" i="206" s="1"/>
  <c r="U58" i="206"/>
  <c r="V58" i="206" s="1"/>
  <c r="U183" i="206"/>
  <c r="V183" i="206" s="1"/>
  <c r="U113" i="206"/>
  <c r="V113" i="206" s="1"/>
  <c r="U95" i="206"/>
  <c r="V95" i="206" s="1"/>
  <c r="U162" i="206"/>
  <c r="V162" i="206" s="1"/>
  <c r="U66" i="206"/>
  <c r="V66" i="206" s="1"/>
  <c r="U31" i="206"/>
  <c r="V31" i="206" s="1"/>
  <c r="U14" i="206"/>
  <c r="V14" i="206" s="1"/>
  <c r="U44" i="206"/>
  <c r="V44" i="206" s="1"/>
  <c r="U12" i="206"/>
  <c r="V12" i="206" s="1"/>
  <c r="U41" i="206"/>
  <c r="V41" i="206" s="1"/>
  <c r="U28" i="206"/>
  <c r="V28" i="206" s="1"/>
  <c r="U25" i="206"/>
  <c r="V25" i="206" s="1"/>
  <c r="U46" i="206"/>
  <c r="V46" i="206" s="1"/>
  <c r="U59" i="206"/>
  <c r="V59" i="206" s="1"/>
  <c r="U81" i="206"/>
  <c r="V81" i="206" s="1"/>
  <c r="U144" i="206"/>
  <c r="V144" i="206" s="1"/>
  <c r="U135" i="206"/>
  <c r="V135" i="206" s="1"/>
  <c r="U167" i="206"/>
  <c r="V167" i="206" s="1"/>
  <c r="U191" i="206"/>
  <c r="V191" i="206" s="1"/>
  <c r="U161" i="206"/>
  <c r="V161" i="206" s="1"/>
  <c r="U177" i="206"/>
  <c r="V177" i="206" s="1"/>
  <c r="U228" i="206"/>
  <c r="V228" i="206" s="1"/>
  <c r="U366" i="206"/>
  <c r="V366" i="206" s="1"/>
  <c r="U324" i="206"/>
  <c r="V324" i="206" s="1"/>
  <c r="U314" i="206"/>
  <c r="V314" i="206" s="1"/>
  <c r="U313" i="206"/>
  <c r="V313" i="206" s="1"/>
  <c r="U355" i="206"/>
  <c r="V355" i="206" s="1"/>
  <c r="U339" i="206"/>
  <c r="V339" i="206" s="1"/>
  <c r="U47" i="206"/>
  <c r="V47" i="206" s="1"/>
  <c r="U45" i="206"/>
  <c r="V45" i="206" s="1"/>
  <c r="U18" i="206"/>
  <c r="V18" i="206" s="1"/>
  <c r="U26" i="206"/>
  <c r="V26" i="206" s="1"/>
  <c r="U33" i="206"/>
  <c r="V33" i="206" s="1"/>
  <c r="U79" i="206"/>
  <c r="V79" i="206" s="1"/>
  <c r="U199" i="206"/>
  <c r="V199" i="206" s="1"/>
  <c r="U179" i="206"/>
  <c r="V179" i="206" s="1"/>
  <c r="U163" i="206"/>
  <c r="V163" i="206" s="1"/>
  <c r="U226" i="206"/>
  <c r="V226" i="206" s="1"/>
  <c r="U220" i="206"/>
  <c r="V220" i="206" s="1"/>
  <c r="U165" i="206"/>
  <c r="V165" i="206" s="1"/>
  <c r="U184" i="206"/>
  <c r="V184" i="206" s="1"/>
  <c r="U208" i="206"/>
  <c r="V208" i="206" s="1"/>
  <c r="U261" i="206"/>
  <c r="V261" i="206" s="1"/>
  <c r="U230" i="206"/>
  <c r="V230" i="206" s="1"/>
  <c r="U269" i="206"/>
  <c r="V269" i="206" s="1"/>
  <c r="U206" i="206"/>
  <c r="V206" i="206" s="1"/>
  <c r="U245" i="206"/>
  <c r="V245" i="206" s="1"/>
  <c r="U303" i="206"/>
  <c r="V303" i="206" s="1"/>
  <c r="U294" i="206"/>
  <c r="V294" i="206" s="1"/>
  <c r="U302" i="206"/>
  <c r="V302" i="206" s="1"/>
  <c r="U317" i="206"/>
  <c r="V317" i="206" s="1"/>
  <c r="U336" i="206"/>
  <c r="V336" i="206" s="1"/>
  <c r="U360" i="206"/>
  <c r="V360" i="206" s="1"/>
  <c r="U22" i="206"/>
  <c r="V22" i="206" s="1"/>
  <c r="U63" i="206"/>
  <c r="V63" i="206" s="1"/>
  <c r="U7" i="206"/>
  <c r="V7" i="206" s="1"/>
  <c r="U37" i="206"/>
  <c r="V37" i="206" s="1"/>
  <c r="U85" i="206"/>
  <c r="V85" i="206" s="1"/>
  <c r="U218" i="206"/>
  <c r="V218" i="206" s="1"/>
  <c r="U242" i="206"/>
  <c r="V242" i="206" s="1"/>
  <c r="U186" i="206"/>
  <c r="V186" i="206" s="1"/>
  <c r="U188" i="206"/>
  <c r="V188" i="206" s="1"/>
  <c r="U234" i="206"/>
  <c r="V234" i="206" s="1"/>
  <c r="U292" i="206"/>
  <c r="V292" i="206" s="1"/>
  <c r="U253" i="206"/>
  <c r="V253" i="206" s="1"/>
  <c r="U319" i="206"/>
  <c r="V319" i="206" s="1"/>
  <c r="U298" i="206"/>
  <c r="V298" i="206" s="1"/>
  <c r="U306" i="206"/>
  <c r="V306" i="206" s="1"/>
  <c r="U318" i="206"/>
  <c r="V318" i="206" s="1"/>
  <c r="U372" i="206"/>
  <c r="V372" i="206" s="1"/>
  <c r="U325" i="206"/>
  <c r="V325" i="206" s="1"/>
  <c r="U38" i="206"/>
  <c r="V38" i="206" s="1"/>
  <c r="U64" i="206"/>
  <c r="V64" i="206" s="1"/>
  <c r="U30" i="206"/>
  <c r="V30" i="206" s="1"/>
  <c r="U69" i="206"/>
  <c r="V69" i="206" s="1"/>
  <c r="U43" i="206"/>
  <c r="V43" i="206" s="1"/>
  <c r="U175" i="206"/>
  <c r="V175" i="206" s="1"/>
  <c r="U193" i="206"/>
  <c r="V193" i="206" s="1"/>
  <c r="U151" i="206"/>
  <c r="V151" i="206" s="1"/>
  <c r="U189" i="206"/>
  <c r="V189" i="206" s="1"/>
  <c r="U204" i="206"/>
  <c r="V204" i="206" s="1"/>
  <c r="U304" i="206"/>
  <c r="V304" i="206" s="1"/>
  <c r="U352" i="206"/>
  <c r="V352" i="206" s="1"/>
  <c r="U42" i="206"/>
  <c r="V42" i="206" s="1"/>
  <c r="U11" i="206"/>
  <c r="V11" i="206" s="1"/>
  <c r="U149" i="206"/>
  <c r="V149" i="206" s="1"/>
  <c r="U159" i="206"/>
  <c r="V159" i="206" s="1"/>
  <c r="U249" i="206"/>
  <c r="V249" i="206" s="1"/>
  <c r="U238" i="206"/>
  <c r="V238" i="206" s="1"/>
  <c r="U311" i="206"/>
  <c r="V311" i="206" s="1"/>
  <c r="U375" i="206"/>
  <c r="V375" i="206" s="1"/>
  <c r="U345" i="206"/>
  <c r="V345" i="206" s="1"/>
  <c r="U373" i="206"/>
  <c r="V373" i="206" s="1"/>
  <c r="U374" i="206"/>
  <c r="V374" i="206" s="1"/>
  <c r="U337" i="206"/>
  <c r="V337" i="206" s="1"/>
  <c r="U214" i="206"/>
  <c r="V214" i="206" s="1"/>
  <c r="U363" i="206"/>
  <c r="V363" i="206" s="1"/>
  <c r="U21" i="206"/>
  <c r="V21" i="206" s="1"/>
  <c r="U236" i="206"/>
  <c r="V236" i="206" s="1"/>
  <c r="U377" i="206"/>
  <c r="V377" i="206" s="1"/>
  <c r="U51" i="206"/>
  <c r="V51" i="206" s="1"/>
  <c r="U10" i="206"/>
  <c r="V10" i="206" s="1"/>
  <c r="U60" i="206"/>
  <c r="V60" i="206" s="1"/>
  <c r="U126" i="206"/>
  <c r="V126" i="206" s="1"/>
  <c r="U197" i="206"/>
  <c r="V197" i="206" s="1"/>
  <c r="U131" i="206"/>
  <c r="V131" i="206" s="1"/>
  <c r="U257" i="206"/>
  <c r="V257" i="206" s="1"/>
  <c r="U348" i="206"/>
  <c r="V348" i="206" s="1"/>
  <c r="U301" i="206"/>
  <c r="V301" i="206" s="1"/>
  <c r="U351" i="206"/>
  <c r="V351" i="206" s="1"/>
  <c r="U359" i="206"/>
  <c r="V359" i="206" s="1"/>
  <c r="U53" i="206"/>
  <c r="V53" i="206" s="1"/>
  <c r="U71" i="206"/>
  <c r="V71" i="206" s="1"/>
  <c r="U299" i="206"/>
  <c r="V299" i="206" s="1"/>
  <c r="U365" i="206"/>
  <c r="V365" i="206" s="1"/>
  <c r="U6" i="206"/>
  <c r="V6" i="206" s="1"/>
  <c r="U8" i="206"/>
  <c r="V8" i="206" s="1"/>
  <c r="U182" i="206"/>
  <c r="V182" i="206" s="1"/>
  <c r="U272" i="206"/>
  <c r="V272" i="206" s="1"/>
  <c r="U146" i="206"/>
  <c r="V146" i="206" s="1"/>
  <c r="U171" i="206"/>
  <c r="V171" i="206" s="1"/>
  <c r="U309" i="206"/>
  <c r="V309" i="206" s="1"/>
  <c r="U338" i="206"/>
  <c r="V338" i="206" s="1"/>
  <c r="U367" i="206"/>
  <c r="V367" i="206" s="1"/>
  <c r="U376" i="206"/>
  <c r="V376" i="206" s="1"/>
  <c r="U383" i="206"/>
  <c r="V383" i="206" s="1"/>
  <c r="U32" i="206"/>
  <c r="V32" i="206" s="1"/>
  <c r="U68" i="206"/>
  <c r="V68" i="206" s="1"/>
  <c r="U16" i="206"/>
  <c r="V16" i="206" s="1"/>
  <c r="U148" i="206"/>
  <c r="V148" i="206" s="1"/>
  <c r="U153" i="206"/>
  <c r="V153" i="206" s="1"/>
  <c r="U173" i="206"/>
  <c r="V173" i="206" s="1"/>
  <c r="U296" i="206"/>
  <c r="V296" i="206" s="1"/>
  <c r="U321" i="206"/>
  <c r="V321" i="206" s="1"/>
  <c r="U378" i="206"/>
  <c r="V378" i="206" s="1"/>
  <c r="U307" i="206"/>
  <c r="V307" i="206" s="1"/>
  <c r="U326" i="206"/>
  <c r="V326" i="206" s="1"/>
  <c r="U323" i="206"/>
  <c r="V323" i="206" s="1"/>
  <c r="U369" i="206"/>
  <c r="V369" i="206" s="1"/>
  <c r="U34" i="206"/>
  <c r="V34" i="206" s="1"/>
  <c r="U80" i="206"/>
  <c r="V80" i="206" s="1"/>
  <c r="U24" i="206"/>
  <c r="V24" i="206" s="1"/>
  <c r="U27" i="206"/>
  <c r="V27" i="206" s="1"/>
  <c r="U77" i="206"/>
  <c r="V77" i="206" s="1"/>
  <c r="U75" i="206"/>
  <c r="V75" i="206" s="1"/>
  <c r="U202" i="206"/>
  <c r="V202" i="206" s="1"/>
  <c r="U169" i="206"/>
  <c r="V169" i="206" s="1"/>
  <c r="U308" i="206"/>
  <c r="V308" i="206" s="1"/>
  <c r="U346" i="206"/>
  <c r="V346" i="206" s="1"/>
  <c r="U342" i="206"/>
  <c r="V342" i="206" s="1"/>
  <c r="U361" i="206"/>
  <c r="V361" i="206" s="1"/>
  <c r="U36" i="206"/>
  <c r="V36" i="206" s="1"/>
  <c r="U232" i="206"/>
  <c r="V232" i="206" s="1"/>
  <c r="U340" i="206"/>
  <c r="V340" i="206" s="1"/>
  <c r="U240" i="206"/>
  <c r="V240" i="206" s="1"/>
  <c r="U320" i="206"/>
  <c r="V320" i="206" s="1"/>
  <c r="U341" i="206"/>
  <c r="V341" i="206" s="1"/>
  <c r="U20" i="206"/>
  <c r="V20" i="206" s="1"/>
  <c r="U35" i="206"/>
  <c r="V35" i="206" s="1"/>
  <c r="U155" i="206"/>
  <c r="V155" i="206" s="1"/>
  <c r="U212" i="206"/>
  <c r="V212" i="206" s="1"/>
  <c r="U224" i="206"/>
  <c r="V224" i="206" s="1"/>
  <c r="U195" i="206"/>
  <c r="V195" i="206" s="1"/>
  <c r="U312" i="206"/>
  <c r="V312" i="206" s="1"/>
  <c r="U370" i="206"/>
  <c r="V370" i="206" s="1"/>
  <c r="U343" i="206"/>
  <c r="V343" i="206" s="1"/>
  <c r="U382" i="206"/>
  <c r="V382" i="206" s="1"/>
  <c r="U39" i="206"/>
  <c r="V39" i="206" s="1"/>
  <c r="U357" i="206"/>
  <c r="V357" i="206" s="1"/>
  <c r="U40" i="206"/>
  <c r="V40" i="206" s="1"/>
  <c r="U347" i="206"/>
  <c r="V347" i="206" s="1"/>
  <c r="U379" i="206"/>
  <c r="V379" i="206" s="1"/>
  <c r="U406" i="206"/>
  <c r="V406" i="206" s="1"/>
  <c r="U254" i="206"/>
  <c r="V254" i="206" s="1"/>
  <c r="U19" i="206"/>
  <c r="V19" i="206" s="1"/>
  <c r="U110" i="206"/>
  <c r="V110" i="206" s="1"/>
  <c r="U271" i="206"/>
  <c r="V271" i="206" s="1"/>
  <c r="U86" i="206"/>
  <c r="V86" i="206" s="1"/>
  <c r="U88" i="206"/>
  <c r="V88" i="206" s="1"/>
  <c r="U17" i="206"/>
  <c r="V17" i="206" s="1"/>
  <c r="U201" i="206"/>
  <c r="V201" i="206" s="1"/>
  <c r="U250" i="206"/>
  <c r="V250" i="206" s="1"/>
  <c r="U225" i="206"/>
  <c r="V225" i="206" s="1"/>
  <c r="U239" i="206"/>
  <c r="V239" i="206" s="1"/>
  <c r="U211" i="206"/>
  <c r="V211" i="206" s="1"/>
  <c r="U243" i="206"/>
  <c r="V243" i="206" s="1"/>
  <c r="U209" i="206"/>
  <c r="V209" i="206" s="1"/>
  <c r="U260" i="206"/>
  <c r="V260" i="206" s="1"/>
  <c r="U65" i="206"/>
  <c r="V65" i="206" s="1"/>
  <c r="U231" i="206"/>
  <c r="V231" i="206" s="1"/>
  <c r="U229" i="206"/>
  <c r="V229" i="206" s="1"/>
  <c r="U258" i="206"/>
  <c r="V258" i="206" s="1"/>
  <c r="U106" i="206"/>
  <c r="V106" i="206" s="1"/>
  <c r="U344" i="206"/>
  <c r="V344" i="206" s="1"/>
  <c r="U205" i="206"/>
  <c r="V205" i="206" s="1"/>
  <c r="U380" i="206"/>
  <c r="V380" i="206" s="1"/>
  <c r="U405" i="206"/>
  <c r="V405" i="206" s="1"/>
  <c r="U358" i="206"/>
  <c r="V358" i="206" s="1"/>
  <c r="U108" i="206"/>
  <c r="V108" i="206" s="1"/>
  <c r="U364" i="206"/>
  <c r="V364" i="206" s="1"/>
  <c r="U332" i="206"/>
  <c r="V332" i="206" s="1"/>
  <c r="U268" i="206"/>
  <c r="V268" i="206" s="1"/>
  <c r="U350" i="206"/>
  <c r="V350" i="206" s="1"/>
  <c r="U248" i="206"/>
  <c r="V248" i="206" s="1"/>
  <c r="U102" i="206"/>
  <c r="V102" i="206" s="1"/>
  <c r="U122" i="206"/>
  <c r="V122" i="206" s="1"/>
  <c r="U404" i="206"/>
  <c r="V404" i="206" s="1"/>
  <c r="U23" i="206"/>
  <c r="V23" i="206" s="1"/>
  <c r="U114" i="206"/>
  <c r="V114" i="206" s="1"/>
  <c r="U104" i="206"/>
  <c r="V104" i="206" s="1"/>
  <c r="U362" i="206"/>
  <c r="V362" i="206" s="1"/>
  <c r="U96" i="206"/>
  <c r="V96" i="206" s="1"/>
  <c r="U223" i="206"/>
  <c r="V223" i="206" s="1"/>
  <c r="U215" i="206"/>
  <c r="V215" i="206" s="1"/>
  <c r="U241" i="206"/>
  <c r="V241" i="206" s="1"/>
  <c r="U118" i="206"/>
  <c r="V118" i="206" s="1"/>
  <c r="U221" i="206"/>
  <c r="V221" i="206" s="1"/>
  <c r="U73" i="206"/>
  <c r="V73" i="206" s="1"/>
  <c r="U219" i="206"/>
  <c r="V219" i="206" s="1"/>
  <c r="U116" i="206"/>
  <c r="V116" i="206" s="1"/>
  <c r="U330" i="206"/>
  <c r="V330" i="206" s="1"/>
  <c r="U262" i="206"/>
  <c r="V262" i="206" s="1"/>
  <c r="U83" i="206"/>
  <c r="V83" i="206" s="1"/>
  <c r="U235" i="206"/>
  <c r="V235" i="206" s="1"/>
  <c r="U270" i="206"/>
  <c r="V270" i="206" s="1"/>
  <c r="U92" i="206"/>
  <c r="V92" i="206" s="1"/>
  <c r="U237" i="206"/>
  <c r="V237" i="206" s="1"/>
  <c r="U334" i="206"/>
  <c r="V334" i="206" s="1"/>
  <c r="U256" i="206"/>
  <c r="V256" i="206" s="1"/>
  <c r="U29" i="206"/>
  <c r="V29" i="206" s="1"/>
  <c r="U9" i="206"/>
  <c r="V9" i="206" s="1"/>
  <c r="U233" i="206"/>
  <c r="V233" i="206" s="1"/>
  <c r="U207" i="206"/>
  <c r="V207" i="206" s="1"/>
  <c r="U61" i="206"/>
  <c r="V61" i="206" s="1"/>
  <c r="U98" i="206"/>
  <c r="V98" i="206" s="1"/>
  <c r="U120" i="206"/>
  <c r="V120" i="206" s="1"/>
  <c r="U246" i="206"/>
  <c r="V246" i="206" s="1"/>
  <c r="U15" i="206"/>
  <c r="V15" i="206" s="1"/>
  <c r="U124" i="206"/>
  <c r="V124" i="206" s="1"/>
  <c r="U227" i="206"/>
  <c r="V227" i="206" s="1"/>
  <c r="U203" i="206"/>
  <c r="V203" i="206" s="1"/>
  <c r="U57" i="206"/>
  <c r="V57" i="206" s="1"/>
  <c r="U112" i="206"/>
  <c r="V112" i="206" s="1"/>
  <c r="U354" i="206"/>
  <c r="V354" i="206" s="1"/>
  <c r="U356" i="206"/>
  <c r="V356" i="206" s="1"/>
  <c r="U90" i="206"/>
  <c r="V90" i="206" s="1"/>
  <c r="U13" i="206"/>
  <c r="V13" i="206" s="1"/>
  <c r="U244" i="206"/>
  <c r="V244" i="206" s="1"/>
  <c r="M409" i="206"/>
  <c r="R5" i="206"/>
  <c r="O5" i="206"/>
  <c r="L408" i="206"/>
  <c r="U5" i="206"/>
  <c r="C25" i="284" l="1"/>
  <c r="C21" i="284"/>
  <c r="C17" i="284"/>
  <c r="C13" i="284"/>
  <c r="C28" i="171"/>
  <c r="C24" i="171"/>
  <c r="C20" i="171"/>
  <c r="C16" i="171"/>
  <c r="C12" i="171"/>
  <c r="C28" i="284"/>
  <c r="C24" i="284"/>
  <c r="C20" i="284"/>
  <c r="C16" i="284"/>
  <c r="C12" i="284"/>
  <c r="C27" i="171"/>
  <c r="C23" i="171"/>
  <c r="C19" i="171"/>
  <c r="C15" i="171"/>
  <c r="C11" i="171"/>
  <c r="C27" i="284"/>
  <c r="C23" i="284"/>
  <c r="C19" i="284"/>
  <c r="C15" i="284"/>
  <c r="C11" i="284"/>
  <c r="C26" i="171"/>
  <c r="C22" i="171"/>
  <c r="C18" i="171"/>
  <c r="C14" i="171"/>
  <c r="C10" i="171"/>
  <c r="C26" i="284"/>
  <c r="C22" i="284"/>
  <c r="C18" i="284"/>
  <c r="C14" i="284"/>
  <c r="C10" i="284"/>
  <c r="C25" i="171"/>
  <c r="C21" i="171"/>
  <c r="C17" i="171"/>
  <c r="C13" i="171"/>
  <c r="C9" i="284"/>
  <c r="C9" i="171"/>
  <c r="O408" i="206"/>
  <c r="P5" i="206"/>
  <c r="P409" i="206" s="1"/>
  <c r="R408" i="206"/>
  <c r="S5" i="206"/>
  <c r="S409" i="206" s="1"/>
  <c r="U408" i="206"/>
  <c r="V5" i="206"/>
  <c r="V409" i="206" s="1"/>
  <c r="V410" i="206" l="1"/>
  <c r="D25" i="284" l="1"/>
  <c r="E25" i="284" s="1"/>
  <c r="G25" i="284" s="1"/>
  <c r="I25" i="284" s="1"/>
  <c r="D21" i="284"/>
  <c r="E21" i="284" s="1"/>
  <c r="G21" i="284" s="1"/>
  <c r="I21" i="284" s="1"/>
  <c r="D17" i="284"/>
  <c r="E17" i="284" s="1"/>
  <c r="G17" i="284" s="1"/>
  <c r="I17" i="284" s="1"/>
  <c r="D13" i="284"/>
  <c r="E13" i="284" s="1"/>
  <c r="G13" i="284" s="1"/>
  <c r="I13" i="284" s="1"/>
  <c r="D28" i="171"/>
  <c r="E28" i="171" s="1"/>
  <c r="G28" i="171" s="1"/>
  <c r="D24" i="171"/>
  <c r="E24" i="171" s="1"/>
  <c r="G24" i="171" s="1"/>
  <c r="D20" i="171"/>
  <c r="E20" i="171" s="1"/>
  <c r="G20" i="171" s="1"/>
  <c r="D16" i="171"/>
  <c r="E16" i="171" s="1"/>
  <c r="G16" i="171" s="1"/>
  <c r="D12" i="171"/>
  <c r="E12" i="171" s="1"/>
  <c r="G12" i="171" s="1"/>
  <c r="D28" i="284"/>
  <c r="E28" i="284" s="1"/>
  <c r="G28" i="284" s="1"/>
  <c r="I28" i="284" s="1"/>
  <c r="D24" i="284"/>
  <c r="E24" i="284" s="1"/>
  <c r="G24" i="284" s="1"/>
  <c r="I24" i="284" s="1"/>
  <c r="D20" i="284"/>
  <c r="E20" i="284" s="1"/>
  <c r="G20" i="284" s="1"/>
  <c r="I20" i="284" s="1"/>
  <c r="D16" i="284"/>
  <c r="E16" i="284" s="1"/>
  <c r="G16" i="284" s="1"/>
  <c r="I16" i="284" s="1"/>
  <c r="D12" i="284"/>
  <c r="E12" i="284" s="1"/>
  <c r="G12" i="284" s="1"/>
  <c r="I12" i="284" s="1"/>
  <c r="D27" i="171"/>
  <c r="E27" i="171" s="1"/>
  <c r="G27" i="171" s="1"/>
  <c r="D23" i="171"/>
  <c r="E23" i="171" s="1"/>
  <c r="G23" i="171" s="1"/>
  <c r="D19" i="171"/>
  <c r="E19" i="171" s="1"/>
  <c r="G19" i="171" s="1"/>
  <c r="D15" i="171"/>
  <c r="E15" i="171" s="1"/>
  <c r="G15" i="171" s="1"/>
  <c r="D11" i="171"/>
  <c r="E11" i="171" s="1"/>
  <c r="G11" i="171" s="1"/>
  <c r="D27" i="284"/>
  <c r="E27" i="284" s="1"/>
  <c r="G27" i="284" s="1"/>
  <c r="I27" i="284" s="1"/>
  <c r="D23" i="284"/>
  <c r="E23" i="284" s="1"/>
  <c r="G23" i="284" s="1"/>
  <c r="I23" i="284" s="1"/>
  <c r="D19" i="284"/>
  <c r="E19" i="284" s="1"/>
  <c r="G19" i="284" s="1"/>
  <c r="I19" i="284" s="1"/>
  <c r="D15" i="284"/>
  <c r="E15" i="284" s="1"/>
  <c r="G15" i="284" s="1"/>
  <c r="I15" i="284" s="1"/>
  <c r="D11" i="284"/>
  <c r="E11" i="284" s="1"/>
  <c r="G11" i="284" s="1"/>
  <c r="I11" i="284" s="1"/>
  <c r="D26" i="171"/>
  <c r="E26" i="171" s="1"/>
  <c r="G26" i="171" s="1"/>
  <c r="D22" i="171"/>
  <c r="E22" i="171" s="1"/>
  <c r="G22" i="171" s="1"/>
  <c r="D18" i="171"/>
  <c r="E18" i="171" s="1"/>
  <c r="G18" i="171" s="1"/>
  <c r="D14" i="171"/>
  <c r="E14" i="171" s="1"/>
  <c r="G14" i="171" s="1"/>
  <c r="D10" i="171"/>
  <c r="E10" i="171" s="1"/>
  <c r="G10" i="171" s="1"/>
  <c r="D26" i="284"/>
  <c r="E26" i="284" s="1"/>
  <c r="G26" i="284" s="1"/>
  <c r="I26" i="284" s="1"/>
  <c r="D22" i="284"/>
  <c r="E22" i="284" s="1"/>
  <c r="G22" i="284" s="1"/>
  <c r="I22" i="284" s="1"/>
  <c r="D18" i="284"/>
  <c r="E18" i="284" s="1"/>
  <c r="G18" i="284" s="1"/>
  <c r="I18" i="284" s="1"/>
  <c r="D14" i="284"/>
  <c r="E14" i="284" s="1"/>
  <c r="G14" i="284" s="1"/>
  <c r="I14" i="284" s="1"/>
  <c r="D10" i="284"/>
  <c r="E10" i="284" s="1"/>
  <c r="G10" i="284" s="1"/>
  <c r="I10" i="284" s="1"/>
  <c r="D25" i="171"/>
  <c r="E25" i="171" s="1"/>
  <c r="G25" i="171" s="1"/>
  <c r="D21" i="171"/>
  <c r="E21" i="171" s="1"/>
  <c r="G21" i="171" s="1"/>
  <c r="D17" i="171"/>
  <c r="E17" i="171" s="1"/>
  <c r="G17" i="171" s="1"/>
  <c r="D13" i="171"/>
  <c r="E13" i="171" s="1"/>
  <c r="G13" i="171" s="1"/>
  <c r="D9" i="284"/>
  <c r="E9" i="284" s="1"/>
  <c r="G9" i="284" s="1"/>
  <c r="I9" i="284" s="1"/>
  <c r="D9" i="171"/>
  <c r="B35" i="65" l="1"/>
  <c r="L15" i="204" l="1"/>
  <c r="H15" i="204"/>
  <c r="N45" i="65" l="1"/>
  <c r="N91" i="65" s="1"/>
  <c r="I45" i="65"/>
  <c r="I91" i="65" s="1"/>
  <c r="D9" i="190" l="1"/>
  <c r="E9" i="190" l="1"/>
  <c r="F9" i="190"/>
  <c r="F31" i="190" l="1"/>
  <c r="F32" i="190"/>
  <c r="F34" i="190"/>
  <c r="E32" i="190"/>
  <c r="E34" i="190"/>
  <c r="E31" i="190"/>
  <c r="C34" i="182"/>
  <c r="A3" i="182"/>
  <c r="A4" i="182" s="1"/>
  <c r="A5" i="182" s="1"/>
  <c r="A6" i="182" s="1"/>
  <c r="A7" i="182" s="1"/>
  <c r="A8" i="182" s="1"/>
  <c r="A9" i="182" s="1"/>
  <c r="A10" i="182" s="1"/>
  <c r="A11" i="182" s="1"/>
  <c r="A12" i="182" s="1"/>
  <c r="A13" i="182" s="1"/>
  <c r="A14" i="182" s="1"/>
  <c r="A15" i="182" s="1"/>
  <c r="A16" i="182" s="1"/>
  <c r="A17" i="182" s="1"/>
  <c r="A18" i="182" s="1"/>
  <c r="A19" i="182" s="1"/>
  <c r="A20" i="182" s="1"/>
  <c r="A21" i="182" s="1"/>
  <c r="A22" i="182" s="1"/>
  <c r="A23" i="182" s="1"/>
  <c r="A24" i="182" s="1"/>
  <c r="A25" i="182" s="1"/>
  <c r="A26" i="182" s="1"/>
  <c r="A27" i="182" s="1"/>
  <c r="A28" i="182" s="1"/>
  <c r="A29" i="182" s="1"/>
  <c r="A30" i="182" s="1"/>
  <c r="A31" i="182" s="1"/>
  <c r="A32" i="182" s="1"/>
  <c r="A3" i="198" l="1"/>
  <c r="A1" i="198"/>
  <c r="F45" i="65" l="1"/>
  <c r="F91" i="65" s="1"/>
  <c r="E91" i="65" l="1"/>
  <c r="F15" i="204" s="1"/>
  <c r="M91" i="65"/>
  <c r="J15" i="204" s="1"/>
  <c r="H91" i="65"/>
  <c r="D15" i="204" s="1"/>
  <c r="B38" i="190" l="1"/>
  <c r="B34" i="65" l="1"/>
  <c r="B47" i="109"/>
  <c r="A9" i="171" l="1"/>
  <c r="A10" i="171" s="1"/>
  <c r="A11" i="171" s="1"/>
  <c r="A12" i="171" s="1"/>
  <c r="A13" i="171" s="1"/>
  <c r="A14" i="171" s="1"/>
  <c r="A15" i="171" s="1"/>
  <c r="A16" i="171" s="1"/>
  <c r="A17" i="171" s="1"/>
  <c r="A18" i="171" s="1"/>
  <c r="A19" i="171" s="1"/>
  <c r="A20" i="171" s="1"/>
  <c r="A21" i="171" s="1"/>
  <c r="A22" i="171" s="1"/>
  <c r="A23" i="171" s="1"/>
  <c r="A24" i="171" s="1"/>
  <c r="A25" i="171" s="1"/>
  <c r="A26" i="171" s="1"/>
  <c r="A27" i="171" s="1"/>
  <c r="A28" i="171" s="1"/>
  <c r="A9" i="172"/>
  <c r="A10" i="172" s="1"/>
  <c r="A11" i="172" s="1"/>
  <c r="A12" i="172" s="1"/>
  <c r="A13" i="172" s="1"/>
  <c r="A14" i="172" s="1"/>
  <c r="A15" i="172" s="1"/>
  <c r="A16" i="172" s="1"/>
  <c r="A17" i="172" s="1"/>
  <c r="A18" i="172" s="1"/>
  <c r="A19" i="172" s="1"/>
  <c r="A20" i="172" s="1"/>
  <c r="A21" i="172" s="1"/>
  <c r="A22" i="172" s="1"/>
  <c r="A23" i="172" s="1"/>
  <c r="A24" i="172" s="1"/>
  <c r="A25" i="172" s="1"/>
  <c r="A26" i="172" s="1"/>
  <c r="A27" i="172" s="1"/>
  <c r="A28" i="172" s="1"/>
  <c r="C38" i="172"/>
  <c r="C43" i="171"/>
  <c r="B31" i="180" l="1"/>
  <c r="B33" i="179"/>
  <c r="B33" i="180" l="1"/>
  <c r="B32" i="180"/>
  <c r="B32" i="179"/>
  <c r="K1" i="190"/>
  <c r="A3" i="190"/>
  <c r="A1" i="190"/>
  <c r="J1" i="172"/>
  <c r="A3" i="172"/>
  <c r="A1" i="172"/>
  <c r="I1" i="188"/>
  <c r="A3" i="188"/>
  <c r="A1" i="188"/>
  <c r="R1" i="187"/>
  <c r="A3" i="187"/>
  <c r="A1" i="187"/>
  <c r="H1" i="185"/>
  <c r="A3" i="185"/>
  <c r="A1" i="185"/>
  <c r="M1" i="171"/>
  <c r="A3" i="171"/>
  <c r="A1" i="171"/>
  <c r="Q1" i="183"/>
  <c r="B34" i="180" s="1"/>
  <c r="A3" i="183"/>
  <c r="A1" i="183"/>
  <c r="L1" i="181"/>
  <c r="A3" i="181"/>
  <c r="A1" i="181"/>
  <c r="K1" i="180"/>
  <c r="A3" i="180"/>
  <c r="A1" i="180"/>
  <c r="I1" i="179"/>
  <c r="A3" i="179"/>
  <c r="A1" i="179"/>
  <c r="C30" i="185" l="1"/>
  <c r="C27" i="185"/>
  <c r="A9" i="190"/>
  <c r="A10" i="190" s="1"/>
  <c r="A11" i="190" s="1"/>
  <c r="A12" i="190" s="1"/>
  <c r="A13" i="190" s="1"/>
  <c r="A14" i="190" s="1"/>
  <c r="A15" i="190" s="1"/>
  <c r="A16" i="190" s="1"/>
  <c r="A17" i="190" s="1"/>
  <c r="A18" i="190" s="1"/>
  <c r="A19" i="190" s="1"/>
  <c r="A20" i="190" s="1"/>
  <c r="A21" i="190" s="1"/>
  <c r="A22" i="190" s="1"/>
  <c r="A23" i="190" s="1"/>
  <c r="B34" i="172"/>
  <c r="A24" i="190" l="1"/>
  <c r="A25" i="190" s="1"/>
  <c r="A26" i="190" s="1"/>
  <c r="A27" i="190" s="1"/>
  <c r="A28" i="190" s="1"/>
  <c r="D31" i="190"/>
  <c r="D32" i="190"/>
  <c r="D34" i="190"/>
  <c r="G12" i="185" l="1"/>
  <c r="G8" i="185"/>
  <c r="A9" i="183"/>
  <c r="A10" i="183" s="1"/>
  <c r="R3" i="183"/>
  <c r="R1" i="183"/>
  <c r="AH1" i="183"/>
  <c r="A9" i="181"/>
  <c r="A10" i="181" s="1"/>
  <c r="A11" i="181" s="1"/>
  <c r="A12" i="181" s="1"/>
  <c r="A13" i="181" s="1"/>
  <c r="A14" i="181" s="1"/>
  <c r="A15" i="181" s="1"/>
  <c r="A16" i="181" s="1"/>
  <c r="A17" i="181" s="1"/>
  <c r="A18" i="181" s="1"/>
  <c r="A19" i="181" s="1"/>
  <c r="A20" i="181" s="1"/>
  <c r="A21" i="181" s="1"/>
  <c r="A22" i="181" s="1"/>
  <c r="A23" i="181" s="1"/>
  <c r="A24" i="181" s="1"/>
  <c r="A25" i="181" s="1"/>
  <c r="A26" i="181" s="1"/>
  <c r="A27" i="181" s="1"/>
  <c r="A28" i="181" s="1"/>
  <c r="B33" i="181"/>
  <c r="A9" i="180"/>
  <c r="A10" i="180" s="1"/>
  <c r="A11" i="180" s="1"/>
  <c r="A12" i="180" s="1"/>
  <c r="A13" i="180" s="1"/>
  <c r="A14" i="180" s="1"/>
  <c r="A15" i="180" s="1"/>
  <c r="A16" i="180" s="1"/>
  <c r="A17" i="180" s="1"/>
  <c r="A18" i="180" s="1"/>
  <c r="A19" i="180" s="1"/>
  <c r="A20" i="180" s="1"/>
  <c r="A21" i="180" s="1"/>
  <c r="A22" i="180" s="1"/>
  <c r="A23" i="180" s="1"/>
  <c r="A24" i="180" s="1"/>
  <c r="A25" i="180" s="1"/>
  <c r="A26" i="180" s="1"/>
  <c r="A27" i="180" s="1"/>
  <c r="A28" i="180" s="1"/>
  <c r="A8" i="179"/>
  <c r="A9" i="179" s="1"/>
  <c r="A10" i="179" s="1"/>
  <c r="A11" i="179" s="1"/>
  <c r="A12" i="179" s="1"/>
  <c r="A13" i="179" s="1"/>
  <c r="A14" i="179" s="1"/>
  <c r="A15" i="179" s="1"/>
  <c r="A16" i="179" s="1"/>
  <c r="A17" i="179" s="1"/>
  <c r="A18" i="179" s="1"/>
  <c r="A19" i="179" s="1"/>
  <c r="A20" i="179" s="1"/>
  <c r="A21" i="179" s="1"/>
  <c r="A22" i="179" s="1"/>
  <c r="A23" i="179" s="1"/>
  <c r="A24" i="179" s="1"/>
  <c r="A25" i="179" s="1"/>
  <c r="A26" i="179" s="1"/>
  <c r="A27" i="179" s="1"/>
  <c r="A11" i="183" l="1"/>
  <c r="R10" i="183"/>
  <c r="Q33" i="187"/>
  <c r="S31" i="183"/>
  <c r="G10" i="185"/>
  <c r="G13" i="185" s="1"/>
  <c r="R9" i="183"/>
  <c r="A12" i="183" l="1"/>
  <c r="R11" i="183"/>
  <c r="G15" i="185"/>
  <c r="G16" i="185" s="1"/>
  <c r="G21" i="185" s="1"/>
  <c r="G23" i="185" s="1"/>
  <c r="A13" i="183" l="1"/>
  <c r="R12" i="183"/>
  <c r="E17" i="224"/>
  <c r="R13" i="183" l="1"/>
  <c r="A14" i="183"/>
  <c r="B33" i="172"/>
  <c r="R14" i="183" l="1"/>
  <c r="A15" i="183"/>
  <c r="G52" i="109"/>
  <c r="G53" i="109" s="1"/>
  <c r="J52" i="109"/>
  <c r="I8" i="109"/>
  <c r="J8" i="109" s="1"/>
  <c r="F8" i="109"/>
  <c r="G8" i="109" s="1"/>
  <c r="C8" i="109"/>
  <c r="A8" i="65"/>
  <c r="A9" i="65" s="1"/>
  <c r="A10" i="65" s="1"/>
  <c r="A11" i="65" s="1"/>
  <c r="A12" i="65" s="1"/>
  <c r="A13" i="65" s="1"/>
  <c r="A14" i="65" s="1"/>
  <c r="A15" i="65" s="1"/>
  <c r="A16" i="65" s="1"/>
  <c r="A17" i="65" s="1"/>
  <c r="A18" i="65" s="1"/>
  <c r="A19" i="65" s="1"/>
  <c r="A20" i="65" s="1"/>
  <c r="A21" i="65" s="1"/>
  <c r="A22" i="65" s="1"/>
  <c r="A23" i="65" s="1"/>
  <c r="A24" i="65" s="1"/>
  <c r="A25" i="65" s="1"/>
  <c r="A26" i="65" s="1"/>
  <c r="A27" i="65" s="1"/>
  <c r="A3" i="76"/>
  <c r="A4" i="76" s="1"/>
  <c r="A5" i="76" s="1"/>
  <c r="A6" i="76" s="1"/>
  <c r="A7" i="76" s="1"/>
  <c r="A8" i="76" s="1"/>
  <c r="A9" i="76" s="1"/>
  <c r="A10" i="76" s="1"/>
  <c r="A11" i="76" s="1"/>
  <c r="A12" i="76" s="1"/>
  <c r="A13" i="76" s="1"/>
  <c r="A14" i="76" s="1"/>
  <c r="A15" i="76" s="1"/>
  <c r="A16" i="76" s="1"/>
  <c r="A17" i="76" s="1"/>
  <c r="A18" i="76" s="1"/>
  <c r="A19" i="76" s="1"/>
  <c r="A20" i="76" s="1"/>
  <c r="A21" i="76" s="1"/>
  <c r="A22" i="76" s="1"/>
  <c r="A23" i="76" s="1"/>
  <c r="A24" i="76" s="1"/>
  <c r="A25" i="76" s="1"/>
  <c r="A26" i="76" s="1"/>
  <c r="A27" i="76" s="1"/>
  <c r="A28" i="76" s="1"/>
  <c r="A29" i="76" s="1"/>
  <c r="A30" i="76" s="1"/>
  <c r="A31" i="76" s="1"/>
  <c r="A32" i="76" s="1"/>
  <c r="A33" i="76" s="1"/>
  <c r="A34" i="76" s="1"/>
  <c r="A35" i="76" s="1"/>
  <c r="A36" i="76" s="1"/>
  <c r="A37" i="76" s="1"/>
  <c r="A38" i="76" s="1"/>
  <c r="B45" i="109"/>
  <c r="B46" i="109"/>
  <c r="R8" i="109"/>
  <c r="P8" i="109"/>
  <c r="N8" i="109"/>
  <c r="L8" i="109"/>
  <c r="D8" i="109"/>
  <c r="A8" i="109"/>
  <c r="A9" i="109" s="1"/>
  <c r="A10" i="109" s="1"/>
  <c r="A11" i="109" s="1"/>
  <c r="A12" i="109" s="1"/>
  <c r="A13" i="109" s="1"/>
  <c r="A14" i="109" s="1"/>
  <c r="A15" i="109" s="1"/>
  <c r="A16" i="109" s="1"/>
  <c r="A17" i="109" s="1"/>
  <c r="A18" i="109" s="1"/>
  <c r="A19" i="109" s="1"/>
  <c r="A20" i="109" s="1"/>
  <c r="A21" i="109" s="1"/>
  <c r="A22" i="109" s="1"/>
  <c r="A23" i="109" s="1"/>
  <c r="A24" i="109" s="1"/>
  <c r="A25" i="109" s="1"/>
  <c r="A26" i="109" s="1"/>
  <c r="A27" i="109" s="1"/>
  <c r="A28" i="109" s="1"/>
  <c r="A29" i="109" s="1"/>
  <c r="A30" i="109" s="1"/>
  <c r="A31" i="109" s="1"/>
  <c r="B33" i="65"/>
  <c r="B32" i="65"/>
  <c r="R15" i="183" l="1"/>
  <c r="A16" i="183"/>
  <c r="A32" i="109"/>
  <c r="A33" i="109" s="1"/>
  <c r="A34" i="109" s="1"/>
  <c r="A35" i="109" s="1"/>
  <c r="A36" i="109" s="1"/>
  <c r="F53" i="109"/>
  <c r="G54" i="109"/>
  <c r="F54" i="109" s="1"/>
  <c r="J54" i="109"/>
  <c r="I54" i="109" s="1"/>
  <c r="J53" i="109"/>
  <c r="R16" i="183" l="1"/>
  <c r="A17" i="183"/>
  <c r="B38" i="109"/>
  <c r="B37" i="109"/>
  <c r="B9" i="109"/>
  <c r="B10" i="109"/>
  <c r="B11" i="109"/>
  <c r="B12" i="109"/>
  <c r="B13" i="109"/>
  <c r="B14" i="109"/>
  <c r="B16" i="109"/>
  <c r="B17" i="109"/>
  <c r="B18" i="109"/>
  <c r="B19" i="109"/>
  <c r="B20" i="109"/>
  <c r="B21" i="109"/>
  <c r="B22" i="109"/>
  <c r="B23" i="109"/>
  <c r="B24" i="109"/>
  <c r="B25" i="109"/>
  <c r="B26" i="109"/>
  <c r="B27" i="109"/>
  <c r="B28" i="109"/>
  <c r="B29" i="109"/>
  <c r="B30" i="109"/>
  <c r="B31" i="109"/>
  <c r="B32" i="109"/>
  <c r="B33" i="109"/>
  <c r="B34" i="109"/>
  <c r="B35" i="109"/>
  <c r="B36" i="109"/>
  <c r="B39" i="109"/>
  <c r="B40" i="109"/>
  <c r="B41" i="109"/>
  <c r="B42" i="109"/>
  <c r="B43" i="109"/>
  <c r="B15" i="109"/>
  <c r="B8" i="109"/>
  <c r="A37" i="109"/>
  <c r="A38" i="109" s="1"/>
  <c r="A39" i="109" s="1"/>
  <c r="A40" i="109" s="1"/>
  <c r="A41" i="109" s="1"/>
  <c r="A42" i="109" s="1"/>
  <c r="A43" i="109" s="1"/>
  <c r="I53" i="109"/>
  <c r="R17" i="183" l="1"/>
  <c r="A18" i="183"/>
  <c r="D75" i="109"/>
  <c r="C12" i="76" s="1"/>
  <c r="B18" i="183" s="1"/>
  <c r="S18" i="183" s="1"/>
  <c r="C75" i="109"/>
  <c r="B12" i="76" s="1"/>
  <c r="D87" i="109"/>
  <c r="C38" i="76" s="1"/>
  <c r="C87" i="109"/>
  <c r="B38" i="76" s="1"/>
  <c r="D83" i="109"/>
  <c r="C17" i="76" s="1"/>
  <c r="B23" i="183" s="1"/>
  <c r="S23" i="183" s="1"/>
  <c r="C83" i="109"/>
  <c r="B17" i="76" s="1"/>
  <c r="D97" i="109"/>
  <c r="C30" i="76" s="1"/>
  <c r="C97" i="109"/>
  <c r="B30" i="76" s="1"/>
  <c r="D78" i="109"/>
  <c r="C15" i="76" s="1"/>
  <c r="B21" i="183" s="1"/>
  <c r="S21" i="183" s="1"/>
  <c r="C78" i="109"/>
  <c r="B15" i="76" s="1"/>
  <c r="D84" i="109"/>
  <c r="C34" i="76" s="1"/>
  <c r="C84" i="109"/>
  <c r="B34" i="76" s="1"/>
  <c r="D73" i="109"/>
  <c r="C10" i="76" s="1"/>
  <c r="B16" i="183" s="1"/>
  <c r="S16" i="183" s="1"/>
  <c r="C73" i="109"/>
  <c r="B10" i="76" s="1"/>
  <c r="D82" i="109"/>
  <c r="C33" i="76" s="1"/>
  <c r="C82" i="109"/>
  <c r="B33" i="76" s="1"/>
  <c r="D66" i="109"/>
  <c r="C4" i="76" s="1"/>
  <c r="B10" i="183" s="1"/>
  <c r="S10" i="183" s="1"/>
  <c r="C66" i="109"/>
  <c r="B4" i="76" s="1"/>
  <c r="D96" i="109"/>
  <c r="C36" i="76" s="1"/>
  <c r="C96" i="109"/>
  <c r="B36" i="76" s="1"/>
  <c r="D88" i="109"/>
  <c r="C19" i="76" s="1"/>
  <c r="B25" i="183" s="1"/>
  <c r="S25" i="183" s="1"/>
  <c r="C88" i="109"/>
  <c r="B19" i="76" s="1"/>
  <c r="D76" i="109"/>
  <c r="C13" i="76" s="1"/>
  <c r="B19" i="183" s="1"/>
  <c r="S19" i="183" s="1"/>
  <c r="C76" i="109"/>
  <c r="B13" i="76" s="1"/>
  <c r="D74" i="109"/>
  <c r="C11" i="76" s="1"/>
  <c r="B17" i="183" s="1"/>
  <c r="S17" i="183" s="1"/>
  <c r="C74" i="109"/>
  <c r="B11" i="76" s="1"/>
  <c r="D72" i="109"/>
  <c r="C9" i="76" s="1"/>
  <c r="B15" i="183" s="1"/>
  <c r="S15" i="183" s="1"/>
  <c r="C72" i="109"/>
  <c r="B9" i="76" s="1"/>
  <c r="D79" i="109"/>
  <c r="C25" i="76" s="1"/>
  <c r="C79" i="109"/>
  <c r="B25" i="76" s="1"/>
  <c r="D81" i="109"/>
  <c r="C32" i="76" s="1"/>
  <c r="C81" i="109"/>
  <c r="B32" i="76" s="1"/>
  <c r="D64" i="109"/>
  <c r="C3" i="76" s="1"/>
  <c r="B9" i="284" s="1"/>
  <c r="C64" i="109"/>
  <c r="B3" i="76" s="1"/>
  <c r="D90" i="109"/>
  <c r="C20" i="76" s="1"/>
  <c r="B26" i="183" s="1"/>
  <c r="S26" i="183" s="1"/>
  <c r="C90" i="109"/>
  <c r="B20" i="76" s="1"/>
  <c r="D71" i="109"/>
  <c r="C24" i="76" s="1"/>
  <c r="C71" i="109"/>
  <c r="B24" i="76" s="1"/>
  <c r="D85" i="109"/>
  <c r="C26" i="76" s="1"/>
  <c r="C85" i="109"/>
  <c r="B26" i="76" s="1"/>
  <c r="D91" i="109"/>
  <c r="C27" i="76" s="1"/>
  <c r="C91" i="109"/>
  <c r="B27" i="76" s="1"/>
  <c r="D67" i="109"/>
  <c r="C5" i="76" s="1"/>
  <c r="B11" i="183" s="1"/>
  <c r="S11" i="183" s="1"/>
  <c r="C67" i="109"/>
  <c r="B5" i="76" s="1"/>
  <c r="D65" i="109"/>
  <c r="C23" i="76" s="1"/>
  <c r="C65" i="109"/>
  <c r="B23" i="76" s="1"/>
  <c r="D77" i="109"/>
  <c r="C14" i="76" s="1"/>
  <c r="B20" i="183" s="1"/>
  <c r="S20" i="183" s="1"/>
  <c r="C77" i="109"/>
  <c r="B14" i="76" s="1"/>
  <c r="D80" i="109"/>
  <c r="C16" i="76" s="1"/>
  <c r="B22" i="183" s="1"/>
  <c r="S22" i="183" s="1"/>
  <c r="C80" i="109"/>
  <c r="B16" i="76" s="1"/>
  <c r="D68" i="109"/>
  <c r="C6" i="76" s="1"/>
  <c r="B12" i="183" s="1"/>
  <c r="S12" i="183" s="1"/>
  <c r="C68" i="109"/>
  <c r="B6" i="76" s="1"/>
  <c r="D92" i="109"/>
  <c r="C28" i="76" s="1"/>
  <c r="C92" i="109"/>
  <c r="B28" i="76" s="1"/>
  <c r="C98" i="109"/>
  <c r="B31" i="76" s="1"/>
  <c r="D98" i="109"/>
  <c r="C31" i="76" s="1"/>
  <c r="D95" i="109"/>
  <c r="C29" i="76" s="1"/>
  <c r="C95" i="109"/>
  <c r="B29" i="76" s="1"/>
  <c r="D93" i="109"/>
  <c r="C21" i="76" s="1"/>
  <c r="B27" i="183" s="1"/>
  <c r="S27" i="183" s="1"/>
  <c r="C93" i="109"/>
  <c r="B21" i="76" s="1"/>
  <c r="D94" i="109"/>
  <c r="C22" i="76" s="1"/>
  <c r="B28" i="183" s="1"/>
  <c r="S28" i="183" s="1"/>
  <c r="C94" i="109"/>
  <c r="B22" i="76" s="1"/>
  <c r="D89" i="109"/>
  <c r="C35" i="76" s="1"/>
  <c r="C89" i="109"/>
  <c r="B35" i="76" s="1"/>
  <c r="D86" i="109"/>
  <c r="C18" i="76" s="1"/>
  <c r="B24" i="183" s="1"/>
  <c r="S24" i="183" s="1"/>
  <c r="C86" i="109"/>
  <c r="B18" i="76" s="1"/>
  <c r="D70" i="109"/>
  <c r="C8" i="76" s="1"/>
  <c r="B14" i="183" s="1"/>
  <c r="S14" i="183" s="1"/>
  <c r="C70" i="109"/>
  <c r="B8" i="76" s="1"/>
  <c r="C69" i="109"/>
  <c r="B7" i="76" s="1"/>
  <c r="D69" i="109"/>
  <c r="C7" i="76" s="1"/>
  <c r="B13" i="183" s="1"/>
  <c r="S13" i="183" s="1"/>
  <c r="C63" i="109"/>
  <c r="B37" i="76" s="1"/>
  <c r="B51" i="109"/>
  <c r="D63" i="109"/>
  <c r="C37" i="76" s="1"/>
  <c r="D25" i="183" l="1"/>
  <c r="C25" i="183"/>
  <c r="AF25" i="183"/>
  <c r="U25" i="183"/>
  <c r="AC25" i="183"/>
  <c r="AB25" i="183"/>
  <c r="AD25" i="183" s="1"/>
  <c r="Y25" i="183"/>
  <c r="X25" i="183"/>
  <c r="T25" i="183"/>
  <c r="E25" i="183"/>
  <c r="H25" i="183" s="1"/>
  <c r="AG25" i="183"/>
  <c r="AF12" i="183"/>
  <c r="AH12" i="183" s="1"/>
  <c r="AC12" i="183"/>
  <c r="X12" i="183"/>
  <c r="T12" i="183"/>
  <c r="U12" i="183"/>
  <c r="E12" i="183"/>
  <c r="D12" i="183"/>
  <c r="C12" i="183"/>
  <c r="AG12" i="183"/>
  <c r="AB12" i="183"/>
  <c r="AD12" i="183" s="1"/>
  <c r="AE12" i="183" s="1"/>
  <c r="Y12" i="183"/>
  <c r="Z12" i="183" s="1"/>
  <c r="D28" i="183"/>
  <c r="C28" i="183"/>
  <c r="AF28" i="183"/>
  <c r="AB28" i="183"/>
  <c r="T28" i="183"/>
  <c r="AC28" i="183"/>
  <c r="Y28" i="183"/>
  <c r="X28" i="183"/>
  <c r="U28" i="183"/>
  <c r="V28" i="183" s="1"/>
  <c r="AG28" i="183"/>
  <c r="E28" i="183"/>
  <c r="E22" i="183"/>
  <c r="D22" i="183"/>
  <c r="AG22" i="183"/>
  <c r="X22" i="183"/>
  <c r="AF22" i="183"/>
  <c r="AC22" i="183"/>
  <c r="AB22" i="183"/>
  <c r="AD22" i="183" s="1"/>
  <c r="Y22" i="183"/>
  <c r="Z22" i="183" s="1"/>
  <c r="U22" i="183"/>
  <c r="T22" i="183"/>
  <c r="C22" i="183"/>
  <c r="X17" i="183"/>
  <c r="Z17" i="183" s="1"/>
  <c r="U17" i="183"/>
  <c r="V17" i="183" s="1"/>
  <c r="AA17" i="183" s="1"/>
  <c r="I17" i="183" s="1"/>
  <c r="E17" i="183"/>
  <c r="H17" i="183" s="1"/>
  <c r="D17" i="183"/>
  <c r="G17" i="183" s="1"/>
  <c r="C17" i="183"/>
  <c r="AG17" i="183"/>
  <c r="AF17" i="183"/>
  <c r="AH17" i="183" s="1"/>
  <c r="AC17" i="183"/>
  <c r="AB17" i="183"/>
  <c r="AD17" i="183" s="1"/>
  <c r="Y17" i="183"/>
  <c r="T17" i="183"/>
  <c r="Y16" i="183"/>
  <c r="X16" i="183"/>
  <c r="E16" i="183"/>
  <c r="AG16" i="183"/>
  <c r="AF16" i="183"/>
  <c r="AH16" i="183" s="1"/>
  <c r="D16" i="183"/>
  <c r="C16" i="183"/>
  <c r="AC16" i="183"/>
  <c r="AB16" i="183"/>
  <c r="AD16" i="183" s="1"/>
  <c r="U16" i="183"/>
  <c r="T16" i="183"/>
  <c r="X18" i="183"/>
  <c r="U18" i="183"/>
  <c r="V18" i="183" s="1"/>
  <c r="D18" i="183"/>
  <c r="C18" i="183"/>
  <c r="H18" i="183" s="1"/>
  <c r="AG18" i="183"/>
  <c r="AF18" i="183"/>
  <c r="AH18" i="183" s="1"/>
  <c r="AC18" i="183"/>
  <c r="E18" i="183"/>
  <c r="AB18" i="183"/>
  <c r="AD18" i="183" s="1"/>
  <c r="AE18" i="183" s="1"/>
  <c r="Y18" i="183"/>
  <c r="T18" i="183"/>
  <c r="AC13" i="183"/>
  <c r="AB13" i="183"/>
  <c r="AD13" i="183" s="1"/>
  <c r="U13" i="183"/>
  <c r="C13" i="183"/>
  <c r="T13" i="183"/>
  <c r="E13" i="183"/>
  <c r="D13" i="183"/>
  <c r="AG13" i="183"/>
  <c r="AF13" i="183"/>
  <c r="AH13" i="183" s="1"/>
  <c r="Y13" i="183"/>
  <c r="X13" i="183"/>
  <c r="Z13" i="183" s="1"/>
  <c r="AF11" i="183"/>
  <c r="AC11" i="183"/>
  <c r="X11" i="183"/>
  <c r="D11" i="183"/>
  <c r="U11" i="183"/>
  <c r="T11" i="183"/>
  <c r="E11" i="183"/>
  <c r="AG11" i="183"/>
  <c r="Y11" i="183"/>
  <c r="C11" i="183"/>
  <c r="AB11" i="183"/>
  <c r="D10" i="183"/>
  <c r="AG10" i="183"/>
  <c r="C10" i="183"/>
  <c r="H10" i="183" s="1"/>
  <c r="AB10" i="183"/>
  <c r="AD10" i="183" s="1"/>
  <c r="AE10" i="183" s="1"/>
  <c r="Y10" i="183"/>
  <c r="X10" i="183"/>
  <c r="Z10" i="183" s="1"/>
  <c r="U10" i="183"/>
  <c r="T10" i="183"/>
  <c r="AF10" i="183"/>
  <c r="AH10" i="183" s="1"/>
  <c r="AC10" i="183"/>
  <c r="E10" i="183"/>
  <c r="E23" i="183"/>
  <c r="D23" i="183"/>
  <c r="C23" i="183"/>
  <c r="AF23" i="183"/>
  <c r="AC23" i="183"/>
  <c r="AB23" i="183"/>
  <c r="AD23" i="183" s="1"/>
  <c r="AE23" i="183" s="1"/>
  <c r="Y23" i="183"/>
  <c r="X23" i="183"/>
  <c r="U23" i="183"/>
  <c r="V23" i="183" s="1"/>
  <c r="AG23" i="183"/>
  <c r="T23" i="183"/>
  <c r="D27" i="183"/>
  <c r="C27" i="183"/>
  <c r="AF27" i="183"/>
  <c r="U27" i="183"/>
  <c r="AC27" i="183"/>
  <c r="AB27" i="183"/>
  <c r="AD27" i="183" s="1"/>
  <c r="Y27" i="183"/>
  <c r="X27" i="183"/>
  <c r="AG27" i="183"/>
  <c r="T27" i="183"/>
  <c r="E27" i="183"/>
  <c r="U20" i="183"/>
  <c r="T20" i="183"/>
  <c r="E20" i="183"/>
  <c r="C20" i="183"/>
  <c r="AG20" i="183"/>
  <c r="AF20" i="183"/>
  <c r="AH20" i="183" s="1"/>
  <c r="AC20" i="183"/>
  <c r="AB20" i="183"/>
  <c r="AD20" i="183" s="1"/>
  <c r="AE20" i="183" s="1"/>
  <c r="Y20" i="183"/>
  <c r="X20" i="183"/>
  <c r="Z20" i="183" s="1"/>
  <c r="D20" i="183"/>
  <c r="D26" i="183"/>
  <c r="C26" i="183"/>
  <c r="AF26" i="183"/>
  <c r="AB26" i="183"/>
  <c r="AC26" i="183"/>
  <c r="Y26" i="183"/>
  <c r="X26" i="183"/>
  <c r="U26" i="183"/>
  <c r="AG26" i="183"/>
  <c r="T26" i="183"/>
  <c r="E26" i="183"/>
  <c r="U19" i="183"/>
  <c r="T19" i="183"/>
  <c r="D19" i="183"/>
  <c r="AB19" i="183"/>
  <c r="C19" i="183"/>
  <c r="AG19" i="183"/>
  <c r="AF19" i="183"/>
  <c r="AH19" i="183" s="1"/>
  <c r="AC19" i="183"/>
  <c r="Y19" i="183"/>
  <c r="X19" i="183"/>
  <c r="E19" i="183"/>
  <c r="A19" i="183"/>
  <c r="R18" i="183"/>
  <c r="T21" i="183"/>
  <c r="E21" i="183"/>
  <c r="C21" i="183"/>
  <c r="AF21" i="183"/>
  <c r="AG21" i="183"/>
  <c r="AC21" i="183"/>
  <c r="AB21" i="183"/>
  <c r="AD21" i="183" s="1"/>
  <c r="AE21" i="183" s="1"/>
  <c r="Y21" i="183"/>
  <c r="X21" i="183"/>
  <c r="U21" i="183"/>
  <c r="D21" i="183"/>
  <c r="AB14" i="183"/>
  <c r="AD14" i="183" s="1"/>
  <c r="AE14" i="183" s="1"/>
  <c r="Y14" i="183"/>
  <c r="Z14" i="183" s="1"/>
  <c r="T14" i="183"/>
  <c r="AG14" i="183"/>
  <c r="E14" i="183"/>
  <c r="D14" i="183"/>
  <c r="C14" i="183"/>
  <c r="H14" i="183" s="1"/>
  <c r="AF14" i="183"/>
  <c r="AH14" i="183" s="1"/>
  <c r="AC14" i="183"/>
  <c r="U14" i="183"/>
  <c r="V14" i="183" s="1"/>
  <c r="X14" i="183"/>
  <c r="D24" i="183"/>
  <c r="C24" i="183"/>
  <c r="AF24" i="183"/>
  <c r="AH24" i="183" s="1"/>
  <c r="AB24" i="183"/>
  <c r="AC24" i="183"/>
  <c r="Y24" i="183"/>
  <c r="X24" i="183"/>
  <c r="U24" i="183"/>
  <c r="AG24" i="183"/>
  <c r="T24" i="183"/>
  <c r="E24" i="183"/>
  <c r="Y15" i="183"/>
  <c r="X15" i="183"/>
  <c r="Z15" i="183" s="1"/>
  <c r="D15" i="183"/>
  <c r="E15" i="183"/>
  <c r="C15" i="183"/>
  <c r="AG15" i="183"/>
  <c r="AF15" i="183"/>
  <c r="AH15" i="183" s="1"/>
  <c r="AC15" i="183"/>
  <c r="AB15" i="183"/>
  <c r="AD15" i="183" s="1"/>
  <c r="U15" i="183"/>
  <c r="T15" i="183"/>
  <c r="D20" i="172"/>
  <c r="J20" i="171"/>
  <c r="D19" i="179"/>
  <c r="H19" i="65"/>
  <c r="I19" i="65" s="1"/>
  <c r="B20" i="172"/>
  <c r="H20" i="171"/>
  <c r="H20" i="180"/>
  <c r="B19" i="179"/>
  <c r="E19" i="65"/>
  <c r="F19" i="65" s="1"/>
  <c r="F20" i="180"/>
  <c r="C19" i="65"/>
  <c r="D20" i="180"/>
  <c r="B19" i="65"/>
  <c r="R19" i="65"/>
  <c r="B20" i="171"/>
  <c r="P19" i="65"/>
  <c r="M19" i="65"/>
  <c r="N19" i="65" s="1"/>
  <c r="F19" i="179"/>
  <c r="K19" i="65"/>
  <c r="H18" i="65"/>
  <c r="I18" i="65" s="1"/>
  <c r="E18" i="65"/>
  <c r="F18" i="65" s="1"/>
  <c r="D19" i="172"/>
  <c r="F18" i="179"/>
  <c r="C18" i="65"/>
  <c r="B19" i="172"/>
  <c r="B19" i="171"/>
  <c r="D18" i="179"/>
  <c r="B18" i="65"/>
  <c r="H19" i="180"/>
  <c r="B18" i="179"/>
  <c r="R18" i="65"/>
  <c r="F19" i="180"/>
  <c r="P18" i="65"/>
  <c r="J19" i="171"/>
  <c r="D19" i="180"/>
  <c r="M18" i="65"/>
  <c r="N18" i="65" s="1"/>
  <c r="H19" i="171"/>
  <c r="K18" i="65"/>
  <c r="B24" i="284"/>
  <c r="B20" i="284"/>
  <c r="B19" i="284"/>
  <c r="D28" i="172"/>
  <c r="J28" i="171"/>
  <c r="H28" i="180"/>
  <c r="E27" i="65"/>
  <c r="F27" i="65" s="1"/>
  <c r="B28" i="172"/>
  <c r="H28" i="171"/>
  <c r="F28" i="180"/>
  <c r="C27" i="65"/>
  <c r="D28" i="180"/>
  <c r="B27" i="65"/>
  <c r="R27" i="65"/>
  <c r="P27" i="65"/>
  <c r="B28" i="171"/>
  <c r="F27" i="179"/>
  <c r="M27" i="65"/>
  <c r="N27" i="65" s="1"/>
  <c r="D27" i="179"/>
  <c r="K27" i="65"/>
  <c r="B27" i="179"/>
  <c r="H27" i="65"/>
  <c r="I27" i="65" s="1"/>
  <c r="D24" i="179"/>
  <c r="E24" i="65"/>
  <c r="F24" i="65" s="1"/>
  <c r="H25" i="180"/>
  <c r="H25" i="181" s="1"/>
  <c r="Q25" i="181" s="1"/>
  <c r="B24" i="179"/>
  <c r="C24" i="65"/>
  <c r="J25" i="171"/>
  <c r="F25" i="180"/>
  <c r="F25" i="181" s="1"/>
  <c r="P25" i="181" s="1"/>
  <c r="B24" i="65"/>
  <c r="H25" i="171"/>
  <c r="D25" i="180"/>
  <c r="R24" i="65"/>
  <c r="P24" i="65"/>
  <c r="M24" i="65"/>
  <c r="N24" i="65" s="1"/>
  <c r="D25" i="172"/>
  <c r="K24" i="65"/>
  <c r="B25" i="172"/>
  <c r="B25" i="171"/>
  <c r="F24" i="179"/>
  <c r="H24" i="65"/>
  <c r="I24" i="65" s="1"/>
  <c r="D16" i="172"/>
  <c r="B16" i="172"/>
  <c r="J16" i="171"/>
  <c r="E15" i="65"/>
  <c r="F15" i="65" s="1"/>
  <c r="H16" i="171"/>
  <c r="C15" i="65"/>
  <c r="F15" i="179"/>
  <c r="H16" i="180"/>
  <c r="D15" i="179"/>
  <c r="P15" i="65"/>
  <c r="B16" i="171"/>
  <c r="F16" i="180"/>
  <c r="B15" i="179"/>
  <c r="D16" i="180"/>
  <c r="K15" i="65"/>
  <c r="R15" i="65"/>
  <c r="M15" i="65"/>
  <c r="N15" i="65" s="1"/>
  <c r="H15" i="65"/>
  <c r="I15" i="65" s="1"/>
  <c r="B15" i="65"/>
  <c r="H23" i="180"/>
  <c r="H22" i="65"/>
  <c r="I22" i="65" s="1"/>
  <c r="F23" i="180"/>
  <c r="E22" i="65"/>
  <c r="F22" i="65" s="1"/>
  <c r="D23" i="172"/>
  <c r="D23" i="180"/>
  <c r="C22" i="65"/>
  <c r="B23" i="172"/>
  <c r="B23" i="171"/>
  <c r="B22" i="65"/>
  <c r="R22" i="65"/>
  <c r="F22" i="179"/>
  <c r="P22" i="65"/>
  <c r="J23" i="171"/>
  <c r="D22" i="179"/>
  <c r="M22" i="65"/>
  <c r="N22" i="65" s="1"/>
  <c r="H23" i="171"/>
  <c r="B22" i="179"/>
  <c r="K22" i="65"/>
  <c r="B22" i="284"/>
  <c r="B13" i="284"/>
  <c r="B13" i="171"/>
  <c r="F13" i="180"/>
  <c r="B12" i="179"/>
  <c r="D13" i="180"/>
  <c r="E12" i="65"/>
  <c r="F12" i="65" s="1"/>
  <c r="C12" i="65"/>
  <c r="J13" i="171"/>
  <c r="H13" i="171"/>
  <c r="P12" i="65"/>
  <c r="D13" i="172"/>
  <c r="F12" i="179"/>
  <c r="B13" i="172"/>
  <c r="H13" i="180"/>
  <c r="D12" i="179"/>
  <c r="K12" i="65"/>
  <c r="M12" i="65"/>
  <c r="N12" i="65" s="1"/>
  <c r="H12" i="65"/>
  <c r="I12" i="65" s="1"/>
  <c r="R12" i="65"/>
  <c r="B12" i="65"/>
  <c r="B28" i="284"/>
  <c r="B25" i="284"/>
  <c r="B16" i="284"/>
  <c r="B23" i="284"/>
  <c r="H15" i="171"/>
  <c r="D14" i="179"/>
  <c r="H15" i="180"/>
  <c r="B14" i="179"/>
  <c r="E14" i="65"/>
  <c r="F14" i="65" s="1"/>
  <c r="D15" i="172"/>
  <c r="F15" i="180"/>
  <c r="C14" i="65"/>
  <c r="B15" i="172"/>
  <c r="D15" i="180"/>
  <c r="B15" i="171"/>
  <c r="P14" i="65"/>
  <c r="J15" i="171"/>
  <c r="F14" i="179"/>
  <c r="K14" i="65"/>
  <c r="M14" i="65"/>
  <c r="N14" i="65" s="1"/>
  <c r="H14" i="65"/>
  <c r="I14" i="65" s="1"/>
  <c r="B14" i="65"/>
  <c r="R14" i="65"/>
  <c r="B15" i="284"/>
  <c r="E13" i="65"/>
  <c r="F13" i="65" s="1"/>
  <c r="B14" i="171"/>
  <c r="F13" i="179"/>
  <c r="C13" i="65"/>
  <c r="D13" i="179"/>
  <c r="D14" i="172"/>
  <c r="H14" i="180"/>
  <c r="B13" i="179"/>
  <c r="B14" i="172"/>
  <c r="J14" i="171"/>
  <c r="F14" i="180"/>
  <c r="P13" i="65"/>
  <c r="H14" i="171"/>
  <c r="D14" i="180"/>
  <c r="K13" i="65"/>
  <c r="H13" i="65"/>
  <c r="I13" i="65" s="1"/>
  <c r="R13" i="65"/>
  <c r="M13" i="65"/>
  <c r="N13" i="65" s="1"/>
  <c r="B13" i="65"/>
  <c r="F26" i="179"/>
  <c r="E26" i="65"/>
  <c r="F26" i="65" s="1"/>
  <c r="D26" i="179"/>
  <c r="C26" i="65"/>
  <c r="D27" i="172"/>
  <c r="B26" i="179"/>
  <c r="B26" i="65"/>
  <c r="B27" i="172"/>
  <c r="B27" i="171"/>
  <c r="H27" i="180"/>
  <c r="R26" i="65"/>
  <c r="F27" i="180"/>
  <c r="P26" i="65"/>
  <c r="D27" i="180"/>
  <c r="M26" i="65"/>
  <c r="N26" i="65" s="1"/>
  <c r="J27" i="171"/>
  <c r="K26" i="65"/>
  <c r="H27" i="171"/>
  <c r="H26" i="65"/>
  <c r="I26" i="65" s="1"/>
  <c r="D12" i="172"/>
  <c r="B12" i="172"/>
  <c r="J12" i="171"/>
  <c r="F11" i="179"/>
  <c r="E11" i="65"/>
  <c r="F11" i="65" s="1"/>
  <c r="H12" i="171"/>
  <c r="H12" i="180"/>
  <c r="D11" i="179"/>
  <c r="C11" i="65"/>
  <c r="F12" i="180"/>
  <c r="B11" i="179"/>
  <c r="D12" i="180"/>
  <c r="P11" i="65"/>
  <c r="B12" i="171"/>
  <c r="K11" i="65"/>
  <c r="R11" i="65"/>
  <c r="M11" i="65"/>
  <c r="N11" i="65" s="1"/>
  <c r="H11" i="65"/>
  <c r="I11" i="65" s="1"/>
  <c r="B11" i="65"/>
  <c r="H11" i="171"/>
  <c r="E10" i="65"/>
  <c r="F10" i="65" s="1"/>
  <c r="D11" i="172"/>
  <c r="C10" i="65"/>
  <c r="B11" i="172"/>
  <c r="B11" i="171"/>
  <c r="F10" i="179"/>
  <c r="H11" i="180"/>
  <c r="D10" i="179"/>
  <c r="P10" i="65"/>
  <c r="F11" i="180"/>
  <c r="B10" i="179"/>
  <c r="J11" i="171"/>
  <c r="D11" i="180"/>
  <c r="K10" i="65"/>
  <c r="M10" i="65"/>
  <c r="N10" i="65" s="1"/>
  <c r="H10" i="65"/>
  <c r="I10" i="65" s="1"/>
  <c r="B10" i="65"/>
  <c r="R10" i="65"/>
  <c r="D26" i="180"/>
  <c r="E25" i="65"/>
  <c r="F25" i="65" s="1"/>
  <c r="B26" i="171"/>
  <c r="C25" i="65"/>
  <c r="B25" i="65"/>
  <c r="R25" i="65"/>
  <c r="D26" i="172"/>
  <c r="J26" i="171"/>
  <c r="F25" i="179"/>
  <c r="P25" i="65"/>
  <c r="B26" i="172"/>
  <c r="H26" i="171"/>
  <c r="D25" i="179"/>
  <c r="M25" i="65"/>
  <c r="N25" i="65" s="1"/>
  <c r="H26" i="180"/>
  <c r="B25" i="179"/>
  <c r="K25" i="65"/>
  <c r="F26" i="180"/>
  <c r="H25" i="65"/>
  <c r="I25" i="65" s="1"/>
  <c r="B14" i="284"/>
  <c r="B27" i="284"/>
  <c r="B12" i="284"/>
  <c r="B11" i="284"/>
  <c r="B26" i="284"/>
  <c r="D24" i="172"/>
  <c r="J24" i="171"/>
  <c r="H23" i="65"/>
  <c r="I23" i="65" s="1"/>
  <c r="B24" i="172"/>
  <c r="H24" i="171"/>
  <c r="E23" i="65"/>
  <c r="F23" i="65" s="1"/>
  <c r="F23" i="179"/>
  <c r="C23" i="65"/>
  <c r="D23" i="179"/>
  <c r="R23" i="65"/>
  <c r="B23" i="65"/>
  <c r="H24" i="180"/>
  <c r="B23" i="179"/>
  <c r="P23" i="65"/>
  <c r="B24" i="171"/>
  <c r="F24" i="180"/>
  <c r="D24" i="180"/>
  <c r="M23" i="65"/>
  <c r="N23" i="65" s="1"/>
  <c r="K23" i="65"/>
  <c r="F21" i="179"/>
  <c r="H21" i="65"/>
  <c r="I21" i="65" s="1"/>
  <c r="B22" i="171"/>
  <c r="D21" i="179"/>
  <c r="E21" i="65"/>
  <c r="F21" i="65" s="1"/>
  <c r="B21" i="179"/>
  <c r="C21" i="65"/>
  <c r="H22" i="180"/>
  <c r="B21" i="65"/>
  <c r="D22" i="172"/>
  <c r="J22" i="171"/>
  <c r="F22" i="180"/>
  <c r="R21" i="65"/>
  <c r="B22" i="172"/>
  <c r="H22" i="171"/>
  <c r="D22" i="180"/>
  <c r="P21" i="65"/>
  <c r="M21" i="65"/>
  <c r="N21" i="65" s="1"/>
  <c r="K21" i="65"/>
  <c r="B17" i="171"/>
  <c r="F16" i="179"/>
  <c r="E16" i="65"/>
  <c r="F16" i="65" s="1"/>
  <c r="H17" i="180"/>
  <c r="D16" i="179"/>
  <c r="C16" i="65"/>
  <c r="J17" i="171"/>
  <c r="F17" i="180"/>
  <c r="B16" i="179"/>
  <c r="H17" i="171"/>
  <c r="D17" i="180"/>
  <c r="R16" i="65"/>
  <c r="P16" i="65"/>
  <c r="D17" i="172"/>
  <c r="M16" i="65"/>
  <c r="N16" i="65" s="1"/>
  <c r="B17" i="172"/>
  <c r="K16" i="65"/>
  <c r="H16" i="65"/>
  <c r="I16" i="65" s="1"/>
  <c r="B16" i="65"/>
  <c r="D9" i="179"/>
  <c r="H10" i="180"/>
  <c r="B9" i="179"/>
  <c r="K9" i="65"/>
  <c r="F10" i="180"/>
  <c r="H9" i="65"/>
  <c r="I9" i="65" s="1"/>
  <c r="B10" i="171"/>
  <c r="D10" i="180"/>
  <c r="D10" i="172"/>
  <c r="R9" i="65"/>
  <c r="B9" i="65"/>
  <c r="B10" i="172"/>
  <c r="J10" i="171"/>
  <c r="H10" i="171"/>
  <c r="F9" i="179"/>
  <c r="C9" i="65"/>
  <c r="E9" i="65"/>
  <c r="F9" i="65" s="1"/>
  <c r="P9" i="65"/>
  <c r="M9" i="65"/>
  <c r="N9" i="65" s="1"/>
  <c r="D21" i="180"/>
  <c r="H20" i="65"/>
  <c r="I20" i="65" s="1"/>
  <c r="E20" i="65"/>
  <c r="F20" i="65" s="1"/>
  <c r="J21" i="171"/>
  <c r="C20" i="65"/>
  <c r="H21" i="171"/>
  <c r="B20" i="65"/>
  <c r="F20" i="179"/>
  <c r="R20" i="65"/>
  <c r="D20" i="179"/>
  <c r="P20" i="65"/>
  <c r="D21" i="172"/>
  <c r="H21" i="180"/>
  <c r="B20" i="179"/>
  <c r="M20" i="65"/>
  <c r="N20" i="65" s="1"/>
  <c r="B21" i="172"/>
  <c r="B21" i="171"/>
  <c r="F21" i="180"/>
  <c r="K20" i="65"/>
  <c r="F18" i="180"/>
  <c r="B17" i="179"/>
  <c r="D18" i="180"/>
  <c r="E17" i="65"/>
  <c r="F17" i="65" s="1"/>
  <c r="B18" i="171"/>
  <c r="C17" i="65"/>
  <c r="B17" i="65"/>
  <c r="D18" i="172"/>
  <c r="R17" i="65"/>
  <c r="B18" i="172"/>
  <c r="J18" i="171"/>
  <c r="P17" i="65"/>
  <c r="H18" i="171"/>
  <c r="F17" i="179"/>
  <c r="M17" i="65"/>
  <c r="N17" i="65" s="1"/>
  <c r="H18" i="180"/>
  <c r="D17" i="179"/>
  <c r="K17" i="65"/>
  <c r="H17" i="65"/>
  <c r="I17" i="65" s="1"/>
  <c r="B17" i="284"/>
  <c r="B10" i="284"/>
  <c r="B21" i="284"/>
  <c r="B18" i="284"/>
  <c r="I19" i="190"/>
  <c r="J19" i="190"/>
  <c r="H19" i="190"/>
  <c r="H23" i="190"/>
  <c r="I23" i="190"/>
  <c r="J23" i="190"/>
  <c r="H17" i="190"/>
  <c r="I17" i="190"/>
  <c r="J17" i="190"/>
  <c r="H22" i="190"/>
  <c r="I22" i="190"/>
  <c r="J22" i="190"/>
  <c r="B19" i="190"/>
  <c r="B23" i="190"/>
  <c r="B17" i="190"/>
  <c r="B22" i="190"/>
  <c r="J28" i="190"/>
  <c r="H28" i="190"/>
  <c r="I28" i="190"/>
  <c r="H10" i="190"/>
  <c r="I10" i="190"/>
  <c r="J10" i="190"/>
  <c r="H14" i="190"/>
  <c r="I14" i="190"/>
  <c r="J14" i="190"/>
  <c r="H18" i="190"/>
  <c r="I18" i="190"/>
  <c r="J18" i="190"/>
  <c r="I11" i="190"/>
  <c r="J11" i="190"/>
  <c r="H11" i="190"/>
  <c r="J20" i="190"/>
  <c r="H20" i="190"/>
  <c r="I20" i="190"/>
  <c r="B10" i="190"/>
  <c r="B14" i="190"/>
  <c r="B18" i="190"/>
  <c r="B11" i="190"/>
  <c r="B20" i="190"/>
  <c r="H13" i="190"/>
  <c r="I13" i="190"/>
  <c r="J13" i="190"/>
  <c r="J12" i="190"/>
  <c r="H12" i="190"/>
  <c r="I12" i="190"/>
  <c r="H21" i="190"/>
  <c r="I21" i="190"/>
  <c r="J21" i="190"/>
  <c r="B28" i="190"/>
  <c r="B12" i="190"/>
  <c r="B21" i="190"/>
  <c r="B13" i="190"/>
  <c r="H24" i="190"/>
  <c r="I24" i="190"/>
  <c r="J24" i="190"/>
  <c r="I27" i="190"/>
  <c r="J27" i="190"/>
  <c r="H27" i="190"/>
  <c r="H26" i="190"/>
  <c r="I26" i="190"/>
  <c r="J26" i="190"/>
  <c r="H15" i="190"/>
  <c r="I15" i="190"/>
  <c r="J15" i="190"/>
  <c r="H25" i="190"/>
  <c r="I25" i="190"/>
  <c r="J25" i="190"/>
  <c r="H16" i="190"/>
  <c r="I16" i="190"/>
  <c r="J16" i="190"/>
  <c r="B24" i="190"/>
  <c r="B27" i="190"/>
  <c r="B26" i="190"/>
  <c r="B15" i="190"/>
  <c r="B25" i="190"/>
  <c r="B16" i="190"/>
  <c r="I9" i="190"/>
  <c r="H9" i="190"/>
  <c r="J9" i="190"/>
  <c r="D9" i="180"/>
  <c r="H8" i="65"/>
  <c r="I8" i="65" s="1"/>
  <c r="D9" i="172"/>
  <c r="B9" i="172"/>
  <c r="C9" i="183"/>
  <c r="AG9" i="183"/>
  <c r="AC9" i="183"/>
  <c r="Y9" i="183"/>
  <c r="U9" i="183"/>
  <c r="T9" i="183"/>
  <c r="E9" i="183"/>
  <c r="X9" i="183"/>
  <c r="D9" i="183"/>
  <c r="AF9" i="183"/>
  <c r="AB9" i="183"/>
  <c r="J9" i="171"/>
  <c r="O9" i="284" s="1"/>
  <c r="P9" i="284" s="1"/>
  <c r="B9" i="171"/>
  <c r="H9" i="171"/>
  <c r="J9" i="284" s="1"/>
  <c r="B9" i="183"/>
  <c r="S9" i="183" s="1"/>
  <c r="B9" i="190"/>
  <c r="B8" i="179"/>
  <c r="H9" i="180"/>
  <c r="F8" i="179"/>
  <c r="F9" i="180"/>
  <c r="C8" i="65"/>
  <c r="E8" i="65"/>
  <c r="F8" i="65" s="1"/>
  <c r="K8" i="65"/>
  <c r="P8" i="65"/>
  <c r="B8" i="65"/>
  <c r="R8" i="65"/>
  <c r="M8" i="65"/>
  <c r="N8" i="65" s="1"/>
  <c r="V22" i="183" l="1"/>
  <c r="AA22" i="183" s="1"/>
  <c r="I22" i="183" s="1"/>
  <c r="V12" i="183"/>
  <c r="AD24" i="183"/>
  <c r="J17" i="183"/>
  <c r="K17" i="183" s="1"/>
  <c r="V11" i="183"/>
  <c r="N20" i="183"/>
  <c r="M20" i="183"/>
  <c r="O20" i="183" s="1"/>
  <c r="Z21" i="183"/>
  <c r="Z19" i="183"/>
  <c r="V26" i="183"/>
  <c r="AE27" i="183"/>
  <c r="N10" i="183"/>
  <c r="M10" i="183"/>
  <c r="AE13" i="183"/>
  <c r="Z25" i="183"/>
  <c r="M16" i="183"/>
  <c r="O16" i="183" s="1"/>
  <c r="G11" i="183"/>
  <c r="H11" i="183"/>
  <c r="Z23" i="183"/>
  <c r="H28" i="183"/>
  <c r="G28" i="183"/>
  <c r="V13" i="183"/>
  <c r="AA13" i="183" s="1"/>
  <c r="I13" i="183" s="1"/>
  <c r="AE15" i="183"/>
  <c r="AH11" i="183"/>
  <c r="AH27" i="183"/>
  <c r="Z18" i="183"/>
  <c r="AA18" i="183" s="1"/>
  <c r="I18" i="183" s="1"/>
  <c r="AE16" i="183"/>
  <c r="N16" i="183" s="1"/>
  <c r="AE22" i="183"/>
  <c r="AA12" i="183"/>
  <c r="I12" i="183" s="1"/>
  <c r="V25" i="183"/>
  <c r="AA25" i="183" s="1"/>
  <c r="I25" i="183" s="1"/>
  <c r="J25" i="183" s="1"/>
  <c r="K25" i="183" s="1"/>
  <c r="M14" i="183"/>
  <c r="N14" i="183"/>
  <c r="H13" i="183"/>
  <c r="G13" i="183"/>
  <c r="G26" i="183"/>
  <c r="H26" i="183"/>
  <c r="G22" i="183"/>
  <c r="H22" i="183"/>
  <c r="J22" i="183" s="1"/>
  <c r="K22" i="183" s="1"/>
  <c r="N12" i="183"/>
  <c r="M12" i="183"/>
  <c r="O12" i="183" s="1"/>
  <c r="H24" i="183"/>
  <c r="G24" i="183"/>
  <c r="N23" i="183"/>
  <c r="Z16" i="183"/>
  <c r="V15" i="183"/>
  <c r="AA15" i="183" s="1"/>
  <c r="I15" i="183" s="1"/>
  <c r="J15" i="183" s="1"/>
  <c r="K15" i="183" s="1"/>
  <c r="V24" i="183"/>
  <c r="AA24" i="183" s="1"/>
  <c r="I24" i="183" s="1"/>
  <c r="V27" i="183"/>
  <c r="AA27" i="183" s="1"/>
  <c r="I27" i="183" s="1"/>
  <c r="J27" i="183" s="1"/>
  <c r="AE17" i="183"/>
  <c r="H12" i="183"/>
  <c r="G12" i="183"/>
  <c r="Z24" i="183"/>
  <c r="G14" i="183"/>
  <c r="AH21" i="183"/>
  <c r="AD26" i="183"/>
  <c r="AE26" i="183" s="1"/>
  <c r="H20" i="183"/>
  <c r="G20" i="183"/>
  <c r="G23" i="183"/>
  <c r="H23" i="183"/>
  <c r="AD11" i="183"/>
  <c r="AE11" i="183" s="1"/>
  <c r="N18" i="183"/>
  <c r="M18" i="183"/>
  <c r="O18" i="183" s="1"/>
  <c r="AH25" i="183"/>
  <c r="V19" i="183"/>
  <c r="V21" i="183"/>
  <c r="N21" i="183"/>
  <c r="M21" i="183"/>
  <c r="O21" i="183" s="1"/>
  <c r="AH23" i="183"/>
  <c r="M23" i="183" s="1"/>
  <c r="O23" i="183" s="1"/>
  <c r="AE25" i="183"/>
  <c r="Z26" i="183"/>
  <c r="Z28" i="183"/>
  <c r="AA28" i="183" s="1"/>
  <c r="I28" i="183" s="1"/>
  <c r="AD19" i="183"/>
  <c r="AE19" i="183" s="1"/>
  <c r="AH26" i="183"/>
  <c r="G10" i="183"/>
  <c r="G18" i="183"/>
  <c r="AH22" i="183"/>
  <c r="AD28" i="183"/>
  <c r="AE28" i="183" s="1"/>
  <c r="H15" i="183"/>
  <c r="G15" i="183"/>
  <c r="H27" i="183"/>
  <c r="G27" i="183"/>
  <c r="AA23" i="183"/>
  <c r="I23" i="183" s="1"/>
  <c r="F23" i="172" s="1"/>
  <c r="H23" i="172" s="1"/>
  <c r="A20" i="183"/>
  <c r="R19" i="183"/>
  <c r="V10" i="183"/>
  <c r="AA10" i="183" s="1"/>
  <c r="I10" i="183" s="1"/>
  <c r="J10" i="183" s="1"/>
  <c r="H16" i="183"/>
  <c r="G16" i="183"/>
  <c r="G19" i="183"/>
  <c r="H19" i="183"/>
  <c r="AA14" i="183"/>
  <c r="I14" i="183" s="1"/>
  <c r="J14" i="183" s="1"/>
  <c r="K14" i="183" s="1"/>
  <c r="Z27" i="183"/>
  <c r="V16" i="183"/>
  <c r="AE24" i="183"/>
  <c r="H21" i="183"/>
  <c r="G21" i="183"/>
  <c r="V20" i="183"/>
  <c r="AA20" i="183" s="1"/>
  <c r="I20" i="183" s="1"/>
  <c r="J20" i="183" s="1"/>
  <c r="Z11" i="183"/>
  <c r="AH28" i="183"/>
  <c r="G25" i="183"/>
  <c r="H19" i="179"/>
  <c r="H11" i="179"/>
  <c r="D12" i="181" s="1"/>
  <c r="H26" i="179"/>
  <c r="D27" i="181" s="1"/>
  <c r="H16" i="179"/>
  <c r="F17" i="181" s="1"/>
  <c r="H25" i="179"/>
  <c r="D26" i="181" s="1"/>
  <c r="H20" i="179"/>
  <c r="H21" i="181" s="1"/>
  <c r="H21" i="179"/>
  <c r="D22" i="181" s="1"/>
  <c r="H14" i="179"/>
  <c r="H15" i="181" s="1"/>
  <c r="H12" i="179"/>
  <c r="F13" i="181" s="1"/>
  <c r="B10" i="181"/>
  <c r="B10" i="180"/>
  <c r="O10" i="284"/>
  <c r="P10" i="284" s="1"/>
  <c r="K10" i="171"/>
  <c r="H12" i="181"/>
  <c r="B15" i="181"/>
  <c r="B15" i="180"/>
  <c r="B13" i="181"/>
  <c r="B13" i="180"/>
  <c r="H17" i="179"/>
  <c r="H18" i="181" s="1"/>
  <c r="J21" i="284"/>
  <c r="I21" i="171"/>
  <c r="B24" i="181"/>
  <c r="B24" i="180"/>
  <c r="J12" i="284"/>
  <c r="I12" i="171"/>
  <c r="K25" i="171"/>
  <c r="O25" i="284"/>
  <c r="P25" i="284" s="1"/>
  <c r="H20" i="181"/>
  <c r="I22" i="171"/>
  <c r="J22" i="284"/>
  <c r="H23" i="179"/>
  <c r="H24" i="181" s="1"/>
  <c r="J11" i="284"/>
  <c r="I11" i="171"/>
  <c r="B23" i="181"/>
  <c r="B23" i="180"/>
  <c r="H27" i="179"/>
  <c r="F28" i="181" s="1"/>
  <c r="B19" i="181"/>
  <c r="B19" i="180"/>
  <c r="D20" i="181"/>
  <c r="I20" i="171"/>
  <c r="J20" i="284"/>
  <c r="I18" i="171"/>
  <c r="J18" i="284"/>
  <c r="H9" i="179"/>
  <c r="H10" i="181" s="1"/>
  <c r="K24" i="171"/>
  <c r="O24" i="284"/>
  <c r="P24" i="284" s="1"/>
  <c r="I26" i="171"/>
  <c r="J26" i="284"/>
  <c r="B12" i="181"/>
  <c r="B12" i="180"/>
  <c r="O14" i="284"/>
  <c r="P14" i="284" s="1"/>
  <c r="K14" i="171"/>
  <c r="I23" i="171"/>
  <c r="J23" i="284"/>
  <c r="H22" i="179"/>
  <c r="F23" i="181" s="1"/>
  <c r="J16" i="284"/>
  <c r="I16" i="171"/>
  <c r="B28" i="181"/>
  <c r="B28" i="180"/>
  <c r="K19" i="171"/>
  <c r="O19" i="284"/>
  <c r="P19" i="284" s="1"/>
  <c r="K26" i="171"/>
  <c r="O26" i="284"/>
  <c r="P26" i="284" s="1"/>
  <c r="I10" i="171"/>
  <c r="J10" i="284"/>
  <c r="J17" i="284"/>
  <c r="I17" i="171"/>
  <c r="F22" i="172"/>
  <c r="H22" i="172" s="1"/>
  <c r="K11" i="171"/>
  <c r="O11" i="284"/>
  <c r="P11" i="284" s="1"/>
  <c r="F12" i="181"/>
  <c r="I27" i="171"/>
  <c r="J27" i="284"/>
  <c r="I15" i="171"/>
  <c r="J15" i="284"/>
  <c r="B25" i="181"/>
  <c r="B25" i="180"/>
  <c r="H18" i="179"/>
  <c r="D19" i="181" s="1"/>
  <c r="O18" i="284"/>
  <c r="P18" i="284" s="1"/>
  <c r="K18" i="171"/>
  <c r="B18" i="181"/>
  <c r="B18" i="180"/>
  <c r="K21" i="171"/>
  <c r="O21" i="284"/>
  <c r="P21" i="284" s="1"/>
  <c r="F24" i="181"/>
  <c r="B26" i="181"/>
  <c r="B26" i="180"/>
  <c r="H10" i="179"/>
  <c r="F11" i="181" s="1"/>
  <c r="K12" i="171"/>
  <c r="O12" i="284"/>
  <c r="P12" i="284" s="1"/>
  <c r="J13" i="284"/>
  <c r="I13" i="171"/>
  <c r="B16" i="180"/>
  <c r="B16" i="181"/>
  <c r="H15" i="179"/>
  <c r="D16" i="181" s="1"/>
  <c r="H24" i="179"/>
  <c r="D25" i="181" s="1"/>
  <c r="J25" i="284"/>
  <c r="I25" i="171"/>
  <c r="K28" i="171"/>
  <c r="O28" i="284"/>
  <c r="P28" i="284" s="1"/>
  <c r="F20" i="181"/>
  <c r="B17" i="181"/>
  <c r="B17" i="180"/>
  <c r="K22" i="171"/>
  <c r="O22" i="284"/>
  <c r="P22" i="284" s="1"/>
  <c r="B22" i="181"/>
  <c r="B22" i="180"/>
  <c r="I24" i="171"/>
  <c r="J24" i="284"/>
  <c r="B11" i="181"/>
  <c r="B11" i="180"/>
  <c r="B27" i="180"/>
  <c r="B27" i="181"/>
  <c r="K27" i="171"/>
  <c r="O27" i="284"/>
  <c r="P27" i="284" s="1"/>
  <c r="J14" i="284"/>
  <c r="I14" i="171"/>
  <c r="B14" i="181"/>
  <c r="B14" i="180"/>
  <c r="H13" i="179"/>
  <c r="H14" i="181" s="1"/>
  <c r="K15" i="171"/>
  <c r="O15" i="284"/>
  <c r="P15" i="284" s="1"/>
  <c r="K13" i="171"/>
  <c r="O13" i="284"/>
  <c r="P13" i="284" s="1"/>
  <c r="K23" i="171"/>
  <c r="O23" i="284"/>
  <c r="P23" i="284" s="1"/>
  <c r="K16" i="171"/>
  <c r="O16" i="284"/>
  <c r="P16" i="284" s="1"/>
  <c r="J19" i="284"/>
  <c r="I19" i="171"/>
  <c r="K20" i="171"/>
  <c r="O20" i="284"/>
  <c r="P20" i="284" s="1"/>
  <c r="B21" i="181"/>
  <c r="B21" i="180"/>
  <c r="K17" i="171"/>
  <c r="O17" i="284"/>
  <c r="P17" i="284" s="1"/>
  <c r="J28" i="284"/>
  <c r="I28" i="171"/>
  <c r="B20" i="181"/>
  <c r="B20" i="180"/>
  <c r="L9" i="284"/>
  <c r="M9" i="284" s="1"/>
  <c r="N9" i="284" s="1"/>
  <c r="U9" i="284" s="1"/>
  <c r="J31" i="190"/>
  <c r="J32" i="190"/>
  <c r="J34" i="190"/>
  <c r="H32" i="190"/>
  <c r="H34" i="190"/>
  <c r="H31" i="190"/>
  <c r="K29" i="65"/>
  <c r="H5" i="204" s="1"/>
  <c r="F29" i="65"/>
  <c r="E29" i="65" s="1"/>
  <c r="R29" i="65"/>
  <c r="P29" i="65"/>
  <c r="L5" i="204" s="1"/>
  <c r="I29" i="65"/>
  <c r="AH9" i="183"/>
  <c r="AD9" i="183"/>
  <c r="AE9" i="183" s="1"/>
  <c r="K9" i="171"/>
  <c r="V9" i="183"/>
  <c r="G9" i="183"/>
  <c r="H9" i="183"/>
  <c r="Z9" i="183"/>
  <c r="D8" i="179"/>
  <c r="B9" i="181"/>
  <c r="B9" i="180"/>
  <c r="E9" i="171"/>
  <c r="G9" i="171" s="1"/>
  <c r="D40" i="181" s="1"/>
  <c r="D41" i="181" s="1"/>
  <c r="D42" i="181" s="1"/>
  <c r="AA16" i="183" l="1"/>
  <c r="I16" i="183" s="1"/>
  <c r="F16" i="172" s="1"/>
  <c r="H16" i="172" s="1"/>
  <c r="O10" i="183"/>
  <c r="J18" i="183"/>
  <c r="K18" i="183" s="1"/>
  <c r="Q18" i="183" s="1"/>
  <c r="F18" i="172"/>
  <c r="H18" i="172" s="1"/>
  <c r="J23" i="183"/>
  <c r="K23" i="183" s="1"/>
  <c r="Q23" i="183" s="1"/>
  <c r="J23" i="180" s="1"/>
  <c r="K23" i="181" s="1"/>
  <c r="R23" i="181" s="1"/>
  <c r="J16" i="183"/>
  <c r="K16" i="183" s="1"/>
  <c r="Q16" i="183" s="1"/>
  <c r="J13" i="183"/>
  <c r="K13" i="183" s="1"/>
  <c r="Q21" i="183"/>
  <c r="O14" i="183"/>
  <c r="Q14" i="183" s="1"/>
  <c r="M28" i="183"/>
  <c r="N28" i="183"/>
  <c r="AA21" i="183"/>
  <c r="I21" i="183" s="1"/>
  <c r="J21" i="183" s="1"/>
  <c r="K21" i="183" s="1"/>
  <c r="J24" i="183"/>
  <c r="K24" i="183" s="1"/>
  <c r="J12" i="183"/>
  <c r="K12" i="183" s="1"/>
  <c r="Q12" i="183" s="1"/>
  <c r="N17" i="183"/>
  <c r="M17" i="183"/>
  <c r="O17" i="183" s="1"/>
  <c r="Q17" i="183" s="1"/>
  <c r="M15" i="183"/>
  <c r="N15" i="183"/>
  <c r="K27" i="183"/>
  <c r="K20" i="183"/>
  <c r="Q20" i="183" s="1"/>
  <c r="AA26" i="183"/>
  <c r="I26" i="183" s="1"/>
  <c r="F26" i="172" s="1"/>
  <c r="H26" i="172" s="1"/>
  <c r="J28" i="183"/>
  <c r="K28" i="183" s="1"/>
  <c r="AA19" i="183"/>
  <c r="I19" i="183" s="1"/>
  <c r="J19" i="183" s="1"/>
  <c r="K19" i="183" s="1"/>
  <c r="N22" i="183"/>
  <c r="M22" i="183"/>
  <c r="AA11" i="183"/>
  <c r="I11" i="183" s="1"/>
  <c r="K10" i="183"/>
  <c r="Q10" i="183" s="1"/>
  <c r="M13" i="183"/>
  <c r="N13" i="183"/>
  <c r="M19" i="183"/>
  <c r="N19" i="183"/>
  <c r="N11" i="183"/>
  <c r="M11" i="183"/>
  <c r="R20" i="183"/>
  <c r="A21" i="183"/>
  <c r="M24" i="183"/>
  <c r="N24" i="183"/>
  <c r="N27" i="183"/>
  <c r="M27" i="183"/>
  <c r="N25" i="183"/>
  <c r="M25" i="183"/>
  <c r="O25" i="183" s="1"/>
  <c r="Q25" i="183" s="1"/>
  <c r="N26" i="183"/>
  <c r="M26" i="183"/>
  <c r="O26" i="183" s="1"/>
  <c r="F22" i="181"/>
  <c r="P22" i="181" s="1"/>
  <c r="H22" i="181"/>
  <c r="Q22" i="181" s="1"/>
  <c r="D17" i="181"/>
  <c r="O17" i="181" s="1"/>
  <c r="F17" i="172"/>
  <c r="H17" i="172" s="1"/>
  <c r="F26" i="181"/>
  <c r="H13" i="181"/>
  <c r="Q13" i="181" s="1"/>
  <c r="F27" i="172"/>
  <c r="H27" i="172" s="1"/>
  <c r="F18" i="181"/>
  <c r="P18" i="181" s="1"/>
  <c r="D13" i="181"/>
  <c r="O13" i="181" s="1"/>
  <c r="H26" i="181"/>
  <c r="Q26" i="181" s="1"/>
  <c r="H17" i="181"/>
  <c r="Q17" i="181" s="1"/>
  <c r="D10" i="181"/>
  <c r="H28" i="181"/>
  <c r="Q28" i="181" s="1"/>
  <c r="L25" i="171"/>
  <c r="F28" i="172"/>
  <c r="H28" i="172" s="1"/>
  <c r="D24" i="181"/>
  <c r="O24" i="181" s="1"/>
  <c r="H27" i="181"/>
  <c r="Q27" i="181" s="1"/>
  <c r="D21" i="181"/>
  <c r="O21" i="181" s="1"/>
  <c r="F24" i="172"/>
  <c r="H24" i="172" s="1"/>
  <c r="F27" i="181"/>
  <c r="P27" i="181" s="1"/>
  <c r="L10" i="171"/>
  <c r="F21" i="181"/>
  <c r="P21" i="181" s="1"/>
  <c r="F15" i="172"/>
  <c r="H15" i="172" s="1"/>
  <c r="F14" i="172"/>
  <c r="H14" i="172" s="1"/>
  <c r="D23" i="181"/>
  <c r="O23" i="181" s="1"/>
  <c r="F10" i="181"/>
  <c r="P10" i="181" s="1"/>
  <c r="L20" i="171"/>
  <c r="F16" i="181"/>
  <c r="P16" i="181" s="1"/>
  <c r="L28" i="171"/>
  <c r="D14" i="181"/>
  <c r="O14" i="181" s="1"/>
  <c r="L27" i="171"/>
  <c r="F14" i="181"/>
  <c r="P14" i="181" s="1"/>
  <c r="L17" i="171"/>
  <c r="F19" i="181"/>
  <c r="P19" i="181" s="1"/>
  <c r="F15" i="181"/>
  <c r="P15" i="181" s="1"/>
  <c r="L23" i="171"/>
  <c r="F20" i="172"/>
  <c r="H20" i="172" s="1"/>
  <c r="L14" i="171"/>
  <c r="F10" i="172"/>
  <c r="H10" i="172" s="1"/>
  <c r="H23" i="181"/>
  <c r="Q23" i="181" s="1"/>
  <c r="D15" i="181"/>
  <c r="O15" i="181" s="1"/>
  <c r="L27" i="284"/>
  <c r="M27" i="284" s="1"/>
  <c r="N27" i="284" s="1"/>
  <c r="D28" i="181"/>
  <c r="O28" i="181" s="1"/>
  <c r="L15" i="284"/>
  <c r="M15" i="284" s="1"/>
  <c r="N15" i="284" s="1"/>
  <c r="U15" i="284" s="1"/>
  <c r="H11" i="181"/>
  <c r="Q11" i="181" s="1"/>
  <c r="L18" i="284"/>
  <c r="M18" i="284" s="1"/>
  <c r="N18" i="284" s="1"/>
  <c r="U18" i="284" s="1"/>
  <c r="L12" i="171"/>
  <c r="L19" i="284"/>
  <c r="M19" i="284" s="1"/>
  <c r="N19" i="284" s="1"/>
  <c r="U19" i="284" s="1"/>
  <c r="F25" i="172"/>
  <c r="H25" i="172" s="1"/>
  <c r="F13" i="172"/>
  <c r="H13" i="172" s="1"/>
  <c r="L14" i="284"/>
  <c r="M14" i="284" s="1"/>
  <c r="N14" i="284" s="1"/>
  <c r="U14" i="284" s="1"/>
  <c r="L13" i="171"/>
  <c r="L15" i="171"/>
  <c r="L17" i="284"/>
  <c r="M17" i="284" s="1"/>
  <c r="N17" i="284" s="1"/>
  <c r="U17" i="284" s="1"/>
  <c r="L16" i="171"/>
  <c r="D11" i="181"/>
  <c r="O11" i="181" s="1"/>
  <c r="L18" i="171"/>
  <c r="D18" i="181"/>
  <c r="O18" i="181" s="1"/>
  <c r="L12" i="284"/>
  <c r="M12" i="284" s="1"/>
  <c r="N12" i="284" s="1"/>
  <c r="U12" i="284" s="1"/>
  <c r="L13" i="284"/>
  <c r="M13" i="284" s="1"/>
  <c r="N13" i="284" s="1"/>
  <c r="U13" i="284" s="1"/>
  <c r="L10" i="284"/>
  <c r="M10" i="284" s="1"/>
  <c r="N10" i="284" s="1"/>
  <c r="U10" i="284" s="1"/>
  <c r="L16" i="284"/>
  <c r="M16" i="284" s="1"/>
  <c r="N16" i="284" s="1"/>
  <c r="U16" i="284" s="1"/>
  <c r="F12" i="172"/>
  <c r="H12" i="172" s="1"/>
  <c r="H16" i="181"/>
  <c r="Q16" i="181" s="1"/>
  <c r="L26" i="284"/>
  <c r="M26" i="284" s="1"/>
  <c r="N26" i="284" s="1"/>
  <c r="L11" i="171"/>
  <c r="L22" i="284"/>
  <c r="M22" i="284" s="1"/>
  <c r="N22" i="284" s="1"/>
  <c r="U22" i="284" s="1"/>
  <c r="L21" i="171"/>
  <c r="L23" i="284"/>
  <c r="M23" i="284" s="1"/>
  <c r="N23" i="284" s="1"/>
  <c r="U23" i="284" s="1"/>
  <c r="L28" i="284"/>
  <c r="M28" i="284" s="1"/>
  <c r="N28" i="284" s="1"/>
  <c r="L24" i="284"/>
  <c r="M24" i="284" s="1"/>
  <c r="N24" i="284" s="1"/>
  <c r="U24" i="284" s="1"/>
  <c r="H19" i="181"/>
  <c r="Q19" i="181" s="1"/>
  <c r="L26" i="171"/>
  <c r="L11" i="284"/>
  <c r="M11" i="284" s="1"/>
  <c r="N11" i="284" s="1"/>
  <c r="U11" i="284" s="1"/>
  <c r="L22" i="171"/>
  <c r="L21" i="284"/>
  <c r="M21" i="284" s="1"/>
  <c r="N21" i="284" s="1"/>
  <c r="U21" i="284" s="1"/>
  <c r="L25" i="284"/>
  <c r="M25" i="284" s="1"/>
  <c r="N25" i="284" s="1"/>
  <c r="U25" i="284" s="1"/>
  <c r="L19" i="171"/>
  <c r="L24" i="171"/>
  <c r="L20" i="284"/>
  <c r="M20" i="284" s="1"/>
  <c r="N20" i="284" s="1"/>
  <c r="U20" i="284" s="1"/>
  <c r="Q21" i="181"/>
  <c r="O27" i="181"/>
  <c r="O19" i="181"/>
  <c r="O10" i="181"/>
  <c r="O22" i="181"/>
  <c r="P13" i="181"/>
  <c r="Q18" i="181"/>
  <c r="Q10" i="181"/>
  <c r="Q14" i="181"/>
  <c r="P26" i="181"/>
  <c r="O26" i="181"/>
  <c r="P17" i="181"/>
  <c r="P20" i="181"/>
  <c r="P24" i="181"/>
  <c r="Q20" i="181"/>
  <c r="O20" i="181"/>
  <c r="P12" i="181"/>
  <c r="Q24" i="181"/>
  <c r="Q12" i="181"/>
  <c r="O16" i="181"/>
  <c r="P23" i="181"/>
  <c r="P11" i="181"/>
  <c r="P28" i="181"/>
  <c r="O12" i="181"/>
  <c r="Q15" i="181"/>
  <c r="O25" i="181"/>
  <c r="Q9" i="284"/>
  <c r="X9" i="284" s="1"/>
  <c r="C61" i="264"/>
  <c r="I34" i="190"/>
  <c r="I31" i="190"/>
  <c r="I32" i="190"/>
  <c r="C37" i="172"/>
  <c r="C42" i="171"/>
  <c r="I9" i="171"/>
  <c r="N29" i="65"/>
  <c r="M29" i="65" s="1"/>
  <c r="J5" i="204" s="1"/>
  <c r="F5" i="204"/>
  <c r="F16" i="204"/>
  <c r="L16" i="204"/>
  <c r="H16" i="204"/>
  <c r="M9" i="183"/>
  <c r="H8" i="179"/>
  <c r="H29" i="65"/>
  <c r="N9" i="183"/>
  <c r="AA9" i="183"/>
  <c r="I9" i="183" s="1"/>
  <c r="F9" i="172" s="1"/>
  <c r="H9" i="172" s="1"/>
  <c r="F19" i="172" l="1"/>
  <c r="H19" i="172" s="1"/>
  <c r="J26" i="183"/>
  <c r="K26" i="183" s="1"/>
  <c r="Q26" i="183" s="1"/>
  <c r="J26" i="180" s="1"/>
  <c r="K26" i="181" s="1"/>
  <c r="R26" i="181" s="1"/>
  <c r="Q28" i="183"/>
  <c r="F21" i="172"/>
  <c r="H21" i="172" s="1"/>
  <c r="O22" i="183"/>
  <c r="Q22" i="183" s="1"/>
  <c r="J22" i="180" s="1"/>
  <c r="K22" i="181" s="1"/>
  <c r="R22" i="181" s="1"/>
  <c r="O28" i="183"/>
  <c r="O13" i="183"/>
  <c r="Q13" i="183" s="1"/>
  <c r="O27" i="183"/>
  <c r="O24" i="183"/>
  <c r="Q24" i="183" s="1"/>
  <c r="J24" i="180" s="1"/>
  <c r="K24" i="181" s="1"/>
  <c r="R24" i="181" s="1"/>
  <c r="O19" i="183"/>
  <c r="Q19" i="183" s="1"/>
  <c r="J19" i="180" s="1"/>
  <c r="K19" i="181" s="1"/>
  <c r="R19" i="181" s="1"/>
  <c r="O15" i="183"/>
  <c r="Q15" i="183" s="1"/>
  <c r="J15" i="180" s="1"/>
  <c r="K15" i="181" s="1"/>
  <c r="R15" i="181" s="1"/>
  <c r="A22" i="183"/>
  <c r="R21" i="183"/>
  <c r="Q27" i="183"/>
  <c r="J11" i="183"/>
  <c r="K11" i="183" s="1"/>
  <c r="F11" i="172"/>
  <c r="H11" i="172" s="1"/>
  <c r="N11" i="172" s="1"/>
  <c r="O11" i="183"/>
  <c r="N17" i="172"/>
  <c r="L40" i="264"/>
  <c r="M14" i="264"/>
  <c r="M24" i="264"/>
  <c r="M26" i="264"/>
  <c r="N41" i="264"/>
  <c r="N39" i="264"/>
  <c r="N29" i="264"/>
  <c r="M15" i="264"/>
  <c r="M43" i="264"/>
  <c r="M39" i="264"/>
  <c r="M29" i="264"/>
  <c r="L49" i="264"/>
  <c r="N19" i="264"/>
  <c r="M19" i="264"/>
  <c r="L15" i="264"/>
  <c r="M41" i="264"/>
  <c r="L24" i="264"/>
  <c r="N14" i="264"/>
  <c r="L17" i="264"/>
  <c r="L43" i="264"/>
  <c r="M49" i="264"/>
  <c r="N28" i="264"/>
  <c r="M22" i="264"/>
  <c r="M8" i="264"/>
  <c r="N35" i="264"/>
  <c r="N37" i="264"/>
  <c r="N45" i="264"/>
  <c r="M21" i="264"/>
  <c r="M23" i="264"/>
  <c r="N8" i="264"/>
  <c r="M27" i="264"/>
  <c r="L20" i="264"/>
  <c r="L28" i="264"/>
  <c r="L45" i="264"/>
  <c r="M18" i="264"/>
  <c r="N43" i="264"/>
  <c r="M47" i="264"/>
  <c r="M13" i="264"/>
  <c r="N23" i="264"/>
  <c r="L39" i="264"/>
  <c r="M30" i="264"/>
  <c r="N31" i="264"/>
  <c r="M38" i="264"/>
  <c r="N34" i="264"/>
  <c r="N32" i="264"/>
  <c r="N12" i="264"/>
  <c r="L16" i="264"/>
  <c r="L30" i="264"/>
  <c r="N21" i="264"/>
  <c r="L8" i="264"/>
  <c r="N10" i="264"/>
  <c r="L11" i="264"/>
  <c r="L27" i="264"/>
  <c r="L21" i="264"/>
  <c r="N24" i="264"/>
  <c r="L50" i="264"/>
  <c r="L36" i="264"/>
  <c r="L18" i="264"/>
  <c r="M46" i="264"/>
  <c r="L13" i="264"/>
  <c r="L32" i="264"/>
  <c r="N17" i="264"/>
  <c r="N11" i="264"/>
  <c r="L19" i="264"/>
  <c r="L47" i="264"/>
  <c r="M16" i="264"/>
  <c r="L22" i="264"/>
  <c r="M9" i="264"/>
  <c r="M32" i="264"/>
  <c r="L29" i="264"/>
  <c r="L38" i="264"/>
  <c r="M25" i="264"/>
  <c r="L42" i="264"/>
  <c r="N27" i="264"/>
  <c r="N25" i="264"/>
  <c r="M33" i="264"/>
  <c r="N49" i="264"/>
  <c r="M48" i="264"/>
  <c r="N48" i="264"/>
  <c r="L23" i="264"/>
  <c r="M42" i="264"/>
  <c r="L41" i="264"/>
  <c r="L37" i="264"/>
  <c r="M34" i="264"/>
  <c r="L46" i="264"/>
  <c r="M28" i="264"/>
  <c r="M10" i="264"/>
  <c r="L33" i="264"/>
  <c r="L44" i="264"/>
  <c r="L35" i="264"/>
  <c r="L12" i="264"/>
  <c r="N36" i="264"/>
  <c r="M31" i="264"/>
  <c r="L9" i="264"/>
  <c r="M12" i="264"/>
  <c r="L34" i="264"/>
  <c r="M17" i="264"/>
  <c r="L25" i="264"/>
  <c r="N47" i="264"/>
  <c r="M11" i="264"/>
  <c r="L31" i="264"/>
  <c r="N38" i="264"/>
  <c r="N42" i="264"/>
  <c r="L10" i="264"/>
  <c r="N13" i="264"/>
  <c r="M50" i="264"/>
  <c r="M20" i="264"/>
  <c r="N44" i="264"/>
  <c r="N30" i="264"/>
  <c r="N20" i="264"/>
  <c r="M35" i="264"/>
  <c r="L26" i="264"/>
  <c r="N9" i="264"/>
  <c r="L48" i="264"/>
  <c r="N50" i="264"/>
  <c r="N33" i="264"/>
  <c r="N51" i="264"/>
  <c r="N18" i="264"/>
  <c r="M36" i="264"/>
  <c r="N15" i="264"/>
  <c r="L14" i="264"/>
  <c r="M51" i="264"/>
  <c r="L51" i="264"/>
  <c r="N46" i="264"/>
  <c r="M37" i="264"/>
  <c r="N26" i="264"/>
  <c r="M45" i="264"/>
  <c r="N16" i="264"/>
  <c r="J28" i="180"/>
  <c r="K28" i="181" s="1"/>
  <c r="R28" i="181" s="1"/>
  <c r="J14" i="180"/>
  <c r="K14" i="181" s="1"/>
  <c r="R14" i="181" s="1"/>
  <c r="J17" i="180"/>
  <c r="K17" i="181" s="1"/>
  <c r="R17" i="181" s="1"/>
  <c r="J16" i="180"/>
  <c r="K16" i="181" s="1"/>
  <c r="R16" i="181" s="1"/>
  <c r="N12" i="172"/>
  <c r="Q11" i="284"/>
  <c r="X11" i="284" s="1"/>
  <c r="Q14" i="284"/>
  <c r="X14" i="284" s="1"/>
  <c r="N10" i="172"/>
  <c r="U28" i="284"/>
  <c r="Q28" i="284"/>
  <c r="X28" i="284" s="1"/>
  <c r="N20" i="172"/>
  <c r="Q25" i="284"/>
  <c r="X25" i="284" s="1"/>
  <c r="Q24" i="284"/>
  <c r="X24" i="284" s="1"/>
  <c r="Q23" i="284"/>
  <c r="X23" i="284" s="1"/>
  <c r="Q12" i="284"/>
  <c r="X12" i="284" s="1"/>
  <c r="N14" i="172"/>
  <c r="N26" i="172"/>
  <c r="N16" i="172"/>
  <c r="M18" i="172"/>
  <c r="M24" i="172"/>
  <c r="M22" i="172"/>
  <c r="M26" i="172"/>
  <c r="M11" i="172"/>
  <c r="M27" i="172"/>
  <c r="M14" i="172"/>
  <c r="M15" i="172"/>
  <c r="N21" i="172"/>
  <c r="M13" i="172"/>
  <c r="M19" i="172"/>
  <c r="M21" i="172"/>
  <c r="M16" i="172"/>
  <c r="N27" i="172"/>
  <c r="M12" i="172"/>
  <c r="M25" i="172"/>
  <c r="M23" i="172"/>
  <c r="M20" i="172"/>
  <c r="M10" i="172"/>
  <c r="N28" i="172"/>
  <c r="M17" i="172"/>
  <c r="M28" i="172"/>
  <c r="Q21" i="284"/>
  <c r="X21" i="284" s="1"/>
  <c r="N13" i="172"/>
  <c r="N23" i="172"/>
  <c r="N15" i="172"/>
  <c r="Q20" i="284"/>
  <c r="X20" i="284" s="1"/>
  <c r="N25" i="172"/>
  <c r="N24" i="172"/>
  <c r="N19" i="172"/>
  <c r="Q19" i="284"/>
  <c r="X19" i="284" s="1"/>
  <c r="N22" i="172"/>
  <c r="N18" i="172"/>
  <c r="U27" i="284"/>
  <c r="Q27" i="284"/>
  <c r="X27" i="284" s="1"/>
  <c r="Q17" i="284"/>
  <c r="X17" i="284" s="1"/>
  <c r="Q10" i="284"/>
  <c r="X10" i="284" s="1"/>
  <c r="Q18" i="284"/>
  <c r="X18" i="284" s="1"/>
  <c r="Q22" i="284"/>
  <c r="X22" i="284" s="1"/>
  <c r="J25" i="180"/>
  <c r="K25" i="181" s="1"/>
  <c r="R25" i="181" s="1"/>
  <c r="J18" i="180"/>
  <c r="K18" i="181" s="1"/>
  <c r="R18" i="181" s="1"/>
  <c r="Q16" i="284"/>
  <c r="X16" i="284" s="1"/>
  <c r="Q13" i="284"/>
  <c r="X13" i="284" s="1"/>
  <c r="Q15" i="284"/>
  <c r="X15" i="284" s="1"/>
  <c r="Q26" i="284"/>
  <c r="X26" i="284" s="1"/>
  <c r="U26" i="284"/>
  <c r="P15" i="171"/>
  <c r="P27" i="171"/>
  <c r="P20" i="171"/>
  <c r="P24" i="171"/>
  <c r="P25" i="171"/>
  <c r="P22" i="171"/>
  <c r="P21" i="171"/>
  <c r="P26" i="171"/>
  <c r="P18" i="171"/>
  <c r="P17" i="171"/>
  <c r="P10" i="171"/>
  <c r="P13" i="171"/>
  <c r="P23" i="171"/>
  <c r="S10" i="171"/>
  <c r="S21" i="171"/>
  <c r="S24" i="171"/>
  <c r="S27" i="171"/>
  <c r="S15" i="171"/>
  <c r="S22" i="171"/>
  <c r="S20" i="171"/>
  <c r="P16" i="171"/>
  <c r="P11" i="171"/>
  <c r="S26" i="171"/>
  <c r="P28" i="171"/>
  <c r="P14" i="171"/>
  <c r="P19" i="171"/>
  <c r="S13" i="171"/>
  <c r="S23" i="171"/>
  <c r="S18" i="171"/>
  <c r="S17" i="171"/>
  <c r="S25" i="171"/>
  <c r="P12" i="171"/>
  <c r="S12" i="171"/>
  <c r="S19" i="171"/>
  <c r="S14" i="171"/>
  <c r="S11" i="171"/>
  <c r="S28" i="171"/>
  <c r="S16" i="171"/>
  <c r="N7" i="264"/>
  <c r="L7" i="264"/>
  <c r="M7" i="264"/>
  <c r="M9" i="172"/>
  <c r="N9" i="172"/>
  <c r="L9" i="171"/>
  <c r="P9" i="171"/>
  <c r="D9" i="181"/>
  <c r="O9" i="181" s="1"/>
  <c r="H37" i="179"/>
  <c r="H36" i="179"/>
  <c r="J16" i="204"/>
  <c r="D5" i="204"/>
  <c r="D16" i="204"/>
  <c r="O9" i="183"/>
  <c r="F9" i="181"/>
  <c r="P9" i="181" s="1"/>
  <c r="H9" i="181"/>
  <c r="Q9" i="181" s="1"/>
  <c r="H29" i="179"/>
  <c r="K29" i="179" s="1"/>
  <c r="J9" i="183"/>
  <c r="K9" i="183" s="1"/>
  <c r="Q11" i="183" l="1"/>
  <c r="J11" i="180" s="1"/>
  <c r="K11" i="181" s="1"/>
  <c r="R11" i="181" s="1"/>
  <c r="A23" i="183"/>
  <c r="R22" i="183"/>
  <c r="J21" i="180"/>
  <c r="K21" i="181" s="1"/>
  <c r="R21" i="181" s="1"/>
  <c r="J20" i="180"/>
  <c r="K20" i="181" s="1"/>
  <c r="R20" i="181" s="1"/>
  <c r="J27" i="180"/>
  <c r="K27" i="181" s="1"/>
  <c r="R27" i="181" s="1"/>
  <c r="J10" i="180"/>
  <c r="K10" i="181" s="1"/>
  <c r="R10" i="181" s="1"/>
  <c r="J12" i="180"/>
  <c r="K12" i="181" s="1"/>
  <c r="R12" i="181" s="1"/>
  <c r="J13" i="180"/>
  <c r="K13" i="181" s="1"/>
  <c r="R13" i="181" s="1"/>
  <c r="O33" i="181"/>
  <c r="P33" i="181"/>
  <c r="H30" i="181"/>
  <c r="Q33" i="181"/>
  <c r="X30" i="284"/>
  <c r="X32" i="284"/>
  <c r="Q30" i="284"/>
  <c r="G15" i="224" s="1"/>
  <c r="N30" i="284"/>
  <c r="E15" i="224" s="1"/>
  <c r="L54" i="264"/>
  <c r="L53" i="264"/>
  <c r="N53" i="264"/>
  <c r="N54" i="264"/>
  <c r="D53" i="264"/>
  <c r="H53" i="264"/>
  <c r="M54" i="264"/>
  <c r="M53" i="264"/>
  <c r="F53" i="264"/>
  <c r="I30" i="171"/>
  <c r="E13" i="224" s="1"/>
  <c r="D30" i="172"/>
  <c r="M30" i="172"/>
  <c r="M31" i="172"/>
  <c r="G42" i="171"/>
  <c r="S9" i="171"/>
  <c r="L30" i="171" s="1"/>
  <c r="G43" i="171"/>
  <c r="Q9" i="183"/>
  <c r="J9" i="180" s="1"/>
  <c r="K9" i="181" s="1"/>
  <c r="R9" i="181" s="1"/>
  <c r="Q31" i="181"/>
  <c r="Q30" i="181"/>
  <c r="P31" i="181"/>
  <c r="F30" i="181"/>
  <c r="O31" i="181"/>
  <c r="D30" i="181"/>
  <c r="P30" i="181"/>
  <c r="O30" i="181"/>
  <c r="A24" i="183" l="1"/>
  <c r="R23" i="183"/>
  <c r="E10" i="224"/>
  <c r="R33" i="181"/>
  <c r="Q31" i="284"/>
  <c r="U34" i="224"/>
  <c r="U35" i="224"/>
  <c r="U33" i="224"/>
  <c r="E8" i="224"/>
  <c r="E9" i="224"/>
  <c r="G13" i="224"/>
  <c r="L55" i="264"/>
  <c r="W34" i="224"/>
  <c r="W33" i="224"/>
  <c r="W35" i="224"/>
  <c r="N55" i="264"/>
  <c r="M55" i="264"/>
  <c r="J53" i="264"/>
  <c r="N30" i="172"/>
  <c r="N31" i="172"/>
  <c r="H30" i="172"/>
  <c r="H38" i="172"/>
  <c r="H37" i="172"/>
  <c r="P32" i="181"/>
  <c r="Q32" i="181"/>
  <c r="O32" i="181"/>
  <c r="P33" i="224"/>
  <c r="P34" i="224"/>
  <c r="P35" i="224"/>
  <c r="S30" i="171"/>
  <c r="S31" i="171"/>
  <c r="A25" i="183" l="1"/>
  <c r="R24" i="183"/>
  <c r="E19" i="224"/>
  <c r="N33" i="224"/>
  <c r="N34" i="224"/>
  <c r="N35" i="224"/>
  <c r="R30" i="181"/>
  <c r="K30" i="181"/>
  <c r="R31" i="181"/>
  <c r="A26" i="183" l="1"/>
  <c r="R25" i="183"/>
  <c r="E11" i="224"/>
  <c r="R32" i="181"/>
  <c r="P36" i="224"/>
  <c r="A27" i="183" l="1"/>
  <c r="R26" i="183"/>
  <c r="N36" i="224"/>
  <c r="U37" i="224"/>
  <c r="A28" i="183" l="1"/>
  <c r="R28" i="183" s="1"/>
  <c r="R27" i="183"/>
  <c r="A7" i="263"/>
  <c r="A8" i="263" s="1"/>
  <c r="A9" i="263" s="1"/>
  <c r="A10" i="263" s="1"/>
  <c r="A11" i="263" s="1"/>
  <c r="A12" i="263" s="1"/>
  <c r="A13" i="263" s="1"/>
  <c r="A14" i="263" s="1"/>
  <c r="A15" i="263" s="1"/>
  <c r="A16" i="263" s="1"/>
  <c r="A17" i="263" s="1"/>
  <c r="A18" i="263" s="1"/>
  <c r="A19" i="263" s="1"/>
  <c r="A20" i="263" s="1"/>
  <c r="A21" i="263" s="1"/>
  <c r="A22" i="263" s="1"/>
  <c r="A23" i="263" s="1"/>
  <c r="A24" i="263" s="1"/>
  <c r="A25" i="263" s="1"/>
  <c r="A26" i="263" s="1"/>
  <c r="A27" i="263" s="1"/>
  <c r="A28" i="263" s="1"/>
  <c r="A29" i="263" s="1"/>
  <c r="A30" i="263" s="1"/>
  <c r="A31" i="263" s="1"/>
  <c r="A32" i="263" s="1"/>
  <c r="A33" i="263" s="1"/>
  <c r="A34" i="263" s="1"/>
  <c r="A35" i="263" s="1"/>
  <c r="A36" i="263" s="1"/>
  <c r="A37" i="263" s="1"/>
  <c r="A38" i="263" s="1"/>
  <c r="A39" i="263" s="1"/>
  <c r="A40" i="263" s="1"/>
  <c r="A41" i="263" s="1"/>
  <c r="A42" i="263" s="1"/>
  <c r="A43" i="263" s="1"/>
  <c r="A44" i="263" s="1"/>
  <c r="A45" i="263" s="1"/>
  <c r="A46" i="263" s="1"/>
  <c r="A47" i="263" s="1"/>
  <c r="A48" i="263" s="1"/>
  <c r="A49" i="263" s="1"/>
  <c r="A50" i="263" s="1"/>
  <c r="A51" i="26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tc={CE71B856-39C5-46A3-8463-3881F8B47BF3}</author>
  </authors>
  <commentList>
    <comment ref="M4" authorId="0" shapeId="0" xr:uid="{CE71B856-39C5-46A3-8463-3881F8B47BF3}">
      <text>
        <t>[Threaded comment]
Your version of Excel allows you to read this threaded comment; however, any edits to it will get removed if the file is opened in a newer version of Excel. Learn more: https://go.microsoft.com/fwlink/?linkid=870924
Comment:
    Added spaces after the commas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tc={512058B9-F379-4538-BAF1-0A00680A46C3}</author>
    <author>tc={0A639CE7-93A0-4969-B7CA-190B1F0EA951}</author>
    <author>tc={8CC23AA8-E577-44E7-80C7-C34807B12748}</author>
  </authors>
  <commentList>
    <comment ref="M5" authorId="0" shapeId="0" xr:uid="{512058B9-F379-4538-BAF1-0A00680A46C3}">
      <text>
        <t>[Threaded comment]
Your version of Excel allows you to read this threaded comment; however, any edits to it will get removed if the file is opened in a newer version of Excel. Learn more: https://go.microsoft.com/fwlink/?linkid=870924
Comment:
    Added spaces after the commas</t>
      </text>
    </comment>
    <comment ref="D36" authorId="1" shapeId="0" xr:uid="{0A639CE7-93A0-4969-B7CA-190B1F0EA951}">
      <text>
        <t>[Threaded comment]
Your version of Excel allows you to read this threaded comment; however, any edits to it will get removed if the file is opened in a newer version of Excel. Learn more: https://go.microsoft.com/fwlink/?linkid=870924
Comment:
    Sorted out company prefix for this and all highlighted ones. Just in case you have a master sheet which could you update for next time.</t>
      </text>
    </comment>
    <comment ref="B147" authorId="2" shapeId="0" xr:uid="{8CC23AA8-E577-44E7-80C7-C34807B12748}">
      <text>
        <t>[Threaded comment]
Your version of Excel allows you to read this threaded comment; however, any edits to it will get removed if the file is opened in a newer version of Excel. Learn more: https://go.microsoft.com/fwlink/?linkid=870924
Comment:
    Added ROR definition. Please double check.</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Thompson</author>
  </authors>
  <commentList>
    <comment ref="H86" authorId="0" shapeId="0" xr:uid="{0FB8FB8E-8035-481D-A154-0C609044F168}">
      <text>
        <r>
          <rPr>
            <b/>
            <sz val="9"/>
            <color indexed="81"/>
            <rFont val="Tahoma"/>
            <family val="2"/>
          </rPr>
          <t>John Thompson:</t>
        </r>
        <r>
          <rPr>
            <sz val="9"/>
            <color indexed="81"/>
            <rFont val="Tahoma"/>
            <family val="2"/>
          </rPr>
          <t xml:space="preserve">
T-Mobile USA, Inc.</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John Thompson</author>
  </authors>
  <commentList>
    <comment ref="U2" authorId="0" shapeId="0" xr:uid="{E127746E-B775-44BB-9907-EFFDC789CA55}">
      <text>
        <r>
          <rPr>
            <b/>
            <sz val="9"/>
            <color indexed="81"/>
            <rFont val="Tahoma"/>
            <family val="2"/>
          </rPr>
          <t>John Thompson:</t>
        </r>
        <r>
          <rPr>
            <sz val="9"/>
            <color indexed="81"/>
            <rFont val="Tahoma"/>
            <family val="2"/>
          </rPr>
          <t xml:space="preserve">
FTS.TO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John Thompson</author>
    <author>Adrien McKenzie</author>
  </authors>
  <commentList>
    <comment ref="AB11" authorId="0" shapeId="0" xr:uid="{1B320D2D-7AC1-4CD0-9257-0F1EB6D8772E}">
      <text>
        <r>
          <rPr>
            <b/>
            <sz val="9"/>
            <color indexed="81"/>
            <rFont val="Tahoma"/>
            <family val="2"/>
          </rPr>
          <t>John Thompson:</t>
        </r>
        <r>
          <rPr>
            <sz val="9"/>
            <color indexed="81"/>
            <rFont val="Tahoma"/>
            <family val="2"/>
          </rPr>
          <t xml:space="preserve">
Senior Unsecured</t>
        </r>
      </text>
    </comment>
    <comment ref="AB15" authorId="0" shapeId="0" xr:uid="{E5EBCF9D-9222-4AC9-AD4B-E6FE559140FB}">
      <text>
        <r>
          <rPr>
            <b/>
            <sz val="9"/>
            <color indexed="81"/>
            <rFont val="Tahoma"/>
            <family val="2"/>
          </rPr>
          <t>John Thompson:</t>
        </r>
        <r>
          <rPr>
            <sz val="9"/>
            <color indexed="81"/>
            <rFont val="Tahoma"/>
            <family val="2"/>
          </rPr>
          <t xml:space="preserve">
Senior Unsecured</t>
        </r>
      </text>
    </comment>
    <comment ref="AB17" authorId="0" shapeId="0" xr:uid="{1AFD20F8-C414-4A58-A412-2416A83E8571}">
      <text>
        <r>
          <rPr>
            <b/>
            <sz val="9"/>
            <color indexed="81"/>
            <rFont val="Tahoma"/>
            <family val="2"/>
          </rPr>
          <t>John Thompson:</t>
        </r>
        <r>
          <rPr>
            <sz val="9"/>
            <color indexed="81"/>
            <rFont val="Tahoma"/>
            <family val="2"/>
          </rPr>
          <t xml:space="preserve">
Senior Unsecured</t>
        </r>
      </text>
    </comment>
    <comment ref="AB18" authorId="0" shapeId="0" xr:uid="{155A6DEE-1B70-4B6F-887D-3A5EB4D6530C}">
      <text>
        <r>
          <rPr>
            <b/>
            <sz val="9"/>
            <color indexed="81"/>
            <rFont val="Tahoma"/>
            <family val="2"/>
          </rPr>
          <t>John Thompson:</t>
        </r>
        <r>
          <rPr>
            <sz val="9"/>
            <color indexed="81"/>
            <rFont val="Tahoma"/>
            <family val="2"/>
          </rPr>
          <t xml:space="preserve">
Senior Unsecured</t>
        </r>
      </text>
    </comment>
    <comment ref="AB22" authorId="0" shapeId="0" xr:uid="{13123A2C-778F-4438-9BE8-74325B25BFDD}">
      <text>
        <r>
          <rPr>
            <b/>
            <sz val="9"/>
            <color indexed="81"/>
            <rFont val="Tahoma"/>
            <family val="2"/>
          </rPr>
          <t>John Thompson:</t>
        </r>
        <r>
          <rPr>
            <sz val="9"/>
            <color indexed="81"/>
            <rFont val="Tahoma"/>
            <family val="2"/>
          </rPr>
          <t xml:space="preserve">
Senior Unsecured</t>
        </r>
      </text>
    </comment>
    <comment ref="Z31" authorId="1" shapeId="0" xr:uid="{C283B114-5B95-4223-88EA-2BFABC81548E}">
      <text>
        <r>
          <rPr>
            <b/>
            <sz val="9"/>
            <color indexed="81"/>
            <rFont val="Tahoma"/>
            <family val="2"/>
          </rPr>
          <t>Adrien McKenzie:</t>
        </r>
        <r>
          <rPr>
            <sz val="9"/>
            <color indexed="81"/>
            <rFont val="Tahoma"/>
            <family val="2"/>
          </rPr>
          <t xml:space="preserve">
6.81% reported for SD is overall ROR, NOT ROE.</t>
        </r>
      </text>
    </comment>
    <comment ref="AB31" authorId="1" shapeId="0" xr:uid="{05A9EB8C-7B6A-404B-BD75-BF662C24891E}">
      <text>
        <r>
          <rPr>
            <b/>
            <sz val="9"/>
            <color indexed="81"/>
            <rFont val="Tahoma"/>
            <family val="2"/>
          </rPr>
          <t>Adrien McKenzie:</t>
        </r>
        <r>
          <rPr>
            <sz val="9"/>
            <color indexed="81"/>
            <rFont val="Tahoma"/>
            <family val="2"/>
          </rPr>
          <t xml:space="preserve">
NorthWestern Corp. and NorthWestern Energy PS rated Baa2</t>
        </r>
      </text>
    </comment>
    <comment ref="AB32" authorId="0" shapeId="0" xr:uid="{9B066B78-B40E-4944-A82F-4392F7D1F8FC}">
      <text>
        <r>
          <rPr>
            <b/>
            <sz val="9"/>
            <color indexed="81"/>
            <rFont val="Tahoma"/>
            <family val="2"/>
          </rPr>
          <t>John Thompson:</t>
        </r>
        <r>
          <rPr>
            <sz val="9"/>
            <color indexed="81"/>
            <rFont val="Tahoma"/>
            <family val="2"/>
          </rPr>
          <t xml:space="preserve">
Senior Unsec.</t>
        </r>
      </text>
    </comment>
    <comment ref="AB38" authorId="0" shapeId="0" xr:uid="{C96AA874-AC98-4754-90B5-0EF308FC20FC}">
      <text>
        <r>
          <rPr>
            <b/>
            <sz val="9"/>
            <color indexed="81"/>
            <rFont val="Tahoma"/>
            <family val="2"/>
          </rPr>
          <t>John Thompson:</t>
        </r>
        <r>
          <rPr>
            <sz val="9"/>
            <color indexed="81"/>
            <rFont val="Tahoma"/>
            <family val="2"/>
          </rPr>
          <t xml:space="preserve">
Senior Unsecured</t>
        </r>
      </text>
    </comment>
    <comment ref="AB40" authorId="0" shapeId="0" xr:uid="{B0122331-476F-4B11-9954-70A6AC14A29B}">
      <text>
        <r>
          <rPr>
            <b/>
            <sz val="9"/>
            <color indexed="81"/>
            <rFont val="Tahoma"/>
            <family val="2"/>
          </rPr>
          <t>John Thompson:</t>
        </r>
        <r>
          <rPr>
            <sz val="9"/>
            <color indexed="81"/>
            <rFont val="Tahoma"/>
            <family val="2"/>
          </rPr>
          <t xml:space="preserve">
Senior Unsecured</t>
        </r>
      </text>
    </comment>
  </commentList>
</comments>
</file>

<file path=xl/sharedStrings.xml><?xml version="1.0" encoding="utf-8"?>
<sst xmlns="http://schemas.openxmlformats.org/spreadsheetml/2006/main" count="6450" uniqueCount="1992">
  <si>
    <t>Gas</t>
  </si>
  <si>
    <t>Total</t>
  </si>
  <si>
    <t>ALLETE</t>
  </si>
  <si>
    <t>Alliant Energy</t>
  </si>
  <si>
    <t>Ameren Corp.</t>
  </si>
  <si>
    <t>American Elec Pwr</t>
  </si>
  <si>
    <t>CMS Energy Corp.</t>
  </si>
  <si>
    <t>Consolidated Edison</t>
  </si>
  <si>
    <t>DTE Energy Co.</t>
  </si>
  <si>
    <t>Duke Energy Corp.</t>
  </si>
  <si>
    <t>Entergy Corp.</t>
  </si>
  <si>
    <t>Evergy Inc.</t>
  </si>
  <si>
    <t>Eversource Energy</t>
  </si>
  <si>
    <t>Exelon Corp.</t>
  </si>
  <si>
    <t>IDACORP, Inc.</t>
  </si>
  <si>
    <t>NextEra Energy, Inc.</t>
  </si>
  <si>
    <t>Pub Sv Enterprise Grp.</t>
  </si>
  <si>
    <t>Sempra Energy</t>
  </si>
  <si>
    <t>Southern Company</t>
  </si>
  <si>
    <t>WEC Energy Group</t>
  </si>
  <si>
    <t>Xcel Energy Inc.</t>
  </si>
  <si>
    <t>(a)</t>
  </si>
  <si>
    <t>(b)</t>
  </si>
  <si>
    <t>(c)</t>
  </si>
  <si>
    <t>(d)</t>
  </si>
  <si>
    <t>(e)</t>
  </si>
  <si>
    <t>(f)</t>
  </si>
  <si>
    <t>(g)</t>
  </si>
  <si>
    <t>(h)</t>
  </si>
  <si>
    <t>(i)</t>
  </si>
  <si>
    <t>(j)</t>
  </si>
  <si>
    <t>Avista Corp.</t>
  </si>
  <si>
    <t>Black Hills Corp.</t>
  </si>
  <si>
    <t>CenterPoint Energy</t>
  </si>
  <si>
    <t>Dominion Energy</t>
  </si>
  <si>
    <t>Edison International</t>
  </si>
  <si>
    <t>n/a</t>
  </si>
  <si>
    <t>FirstEnergy Corp.</t>
  </si>
  <si>
    <t>Fortis Inc.</t>
  </si>
  <si>
    <t>Hawaiian Elec.</t>
  </si>
  <si>
    <t>MGE Energy</t>
  </si>
  <si>
    <t>OGE Energy Corp.</t>
  </si>
  <si>
    <t>Otter Tail Corp.</t>
  </si>
  <si>
    <t>PG&amp;E Corp.</t>
  </si>
  <si>
    <t>Pinnacle West Capital</t>
  </si>
  <si>
    <t>Portland General Elec.</t>
  </si>
  <si>
    <t>PPL Corp.</t>
  </si>
  <si>
    <t>Average</t>
  </si>
  <si>
    <t>10-Yr. Treasury</t>
  </si>
  <si>
    <t>30-Yr. Treasury</t>
  </si>
  <si>
    <t>Aaa Corporate</t>
  </si>
  <si>
    <t>Baa Utility</t>
  </si>
  <si>
    <t>Aug.</t>
  </si>
  <si>
    <t xml:space="preserve">Mar. </t>
  </si>
  <si>
    <t>Change</t>
  </si>
  <si>
    <t>Series</t>
  </si>
  <si>
    <t>(bps)</t>
  </si>
  <si>
    <t>10-Year Treasury Bonds</t>
  </si>
  <si>
    <t>30-Year Treasury Bonds</t>
  </si>
  <si>
    <t>Baa Utility Bonds</t>
  </si>
  <si>
    <t>Value Line</t>
  </si>
  <si>
    <t>Safety</t>
  </si>
  <si>
    <t>Financial</t>
  </si>
  <si>
    <t>Moody's</t>
  </si>
  <si>
    <t>S&amp;P</t>
  </si>
  <si>
    <t>Rank</t>
  </si>
  <si>
    <t>Strength</t>
  </si>
  <si>
    <t>Beta</t>
  </si>
  <si>
    <t>Utility Group</t>
  </si>
  <si>
    <t>Non-Utility Group</t>
  </si>
  <si>
    <t>Override:</t>
  </si>
  <si>
    <t xml:space="preserve"> </t>
  </si>
  <si>
    <t>Issuer</t>
  </si>
  <si>
    <t>Credit</t>
  </si>
  <si>
    <t>Market</t>
  </si>
  <si>
    <t>"Y" for Incl.</t>
  </si>
  <si>
    <t>Included</t>
  </si>
  <si>
    <t>SYM</t>
  </si>
  <si>
    <t>Company</t>
  </si>
  <si>
    <t>Rating</t>
  </si>
  <si>
    <t xml:space="preserve"> Rating</t>
  </si>
  <si>
    <t>Cap</t>
  </si>
  <si>
    <t>Utility</t>
  </si>
  <si>
    <t>"X" for Excl.</t>
  </si>
  <si>
    <t>Comments</t>
  </si>
  <si>
    <t>Y</t>
  </si>
  <si>
    <t>X</t>
  </si>
  <si>
    <t>N</t>
  </si>
  <si>
    <t>Proxy Group Criteria</t>
  </si>
  <si>
    <t>Moodys</t>
  </si>
  <si>
    <t>Baa1</t>
  </si>
  <si>
    <t>BBB+</t>
  </si>
  <si>
    <t>Low Rating</t>
  </si>
  <si>
    <t>High Rating</t>
  </si>
  <si>
    <t>SUMMARY OF RESULTS</t>
  </si>
  <si>
    <t>DCF</t>
  </si>
  <si>
    <t>IBES</t>
  </si>
  <si>
    <t>Zacks</t>
  </si>
  <si>
    <t>Internal br + sv</t>
  </si>
  <si>
    <t>CAPM</t>
  </si>
  <si>
    <t>Utility Risk Premium</t>
  </si>
  <si>
    <t>Tab</t>
  </si>
  <si>
    <t>Designation</t>
  </si>
  <si>
    <t>Title I</t>
  </si>
  <si>
    <t>Title II</t>
  </si>
  <si>
    <t>ROE ANALYSIS</t>
  </si>
  <si>
    <t>REGULATORY MECHANISMS</t>
  </si>
  <si>
    <t>UTILITY GROUP</t>
  </si>
  <si>
    <t>DCF MODEL - UTILITY GROUP</t>
  </si>
  <si>
    <t>DIVIDEND YIELD</t>
  </si>
  <si>
    <t>GROWTH RATES</t>
  </si>
  <si>
    <t>COST OF EQUITY ESTIMATES</t>
  </si>
  <si>
    <t>BR+SV GROWTH RATE</t>
  </si>
  <si>
    <t>UTILITY RISK PREMIUM</t>
  </si>
  <si>
    <t>COST OF EQUITY ESTIMATE</t>
  </si>
  <si>
    <t>AUTHORIZED RETURNS</t>
  </si>
  <si>
    <t>REGRESSION RESULTS</t>
  </si>
  <si>
    <t>DCF MODEL - NON-UTILITY GROUP</t>
  </si>
  <si>
    <t>DCF COST OF EQUITY ESTIMATES</t>
  </si>
  <si>
    <t>CAPITAL STRUCTURE</t>
  </si>
  <si>
    <t>UTILITY GROUP OPERATING SUBSIDIARIES</t>
  </si>
  <si>
    <t>Page 1 of 1</t>
  </si>
  <si>
    <t>Method</t>
  </si>
  <si>
    <t>Result</t>
  </si>
  <si>
    <t>ROE Recommendation</t>
  </si>
  <si>
    <t>Cost of Equity</t>
  </si>
  <si>
    <t>Range</t>
  </si>
  <si>
    <t>--</t>
  </si>
  <si>
    <t>Recommendation</t>
  </si>
  <si>
    <t>Non-Utility</t>
  </si>
  <si>
    <t>Growth Rate</t>
  </si>
  <si>
    <t>Midpoint</t>
  </si>
  <si>
    <t>br + sv</t>
  </si>
  <si>
    <t>Future</t>
  </si>
  <si>
    <t>Test</t>
  </si>
  <si>
    <t>Year</t>
  </si>
  <si>
    <t>✓</t>
  </si>
  <si>
    <t>C</t>
  </si>
  <si>
    <t>D</t>
  </si>
  <si>
    <t>Notes</t>
  </si>
  <si>
    <t>D - Delivery-only utility.</t>
  </si>
  <si>
    <t>State</t>
  </si>
  <si>
    <t>MN</t>
  </si>
  <si>
    <t>ALLIANT ENERGY CORP.</t>
  </si>
  <si>
    <t>Interstate Power &amp; Light Co.</t>
  </si>
  <si>
    <t>IA</t>
  </si>
  <si>
    <t>Wisconsin Power &amp; Light Co.</t>
  </si>
  <si>
    <t>WI</t>
  </si>
  <si>
    <t>Ameren Illinois Co.</t>
  </si>
  <si>
    <t>IL</t>
  </si>
  <si>
    <t>O</t>
  </si>
  <si>
    <t>Union Electric Co.</t>
  </si>
  <si>
    <t>MO</t>
  </si>
  <si>
    <t>AMERICAN ELEC PWR</t>
  </si>
  <si>
    <t>Southwestern Electric Power Co.</t>
  </si>
  <si>
    <t>AR</t>
  </si>
  <si>
    <t>Indiana Michigan Power Co.</t>
  </si>
  <si>
    <t>IN</t>
  </si>
  <si>
    <t>Kentucky Power Co.</t>
  </si>
  <si>
    <t>KY</t>
  </si>
  <si>
    <t>LA</t>
  </si>
  <si>
    <t>MI</t>
  </si>
  <si>
    <t>Ohio Power Co.</t>
  </si>
  <si>
    <t>OH</t>
  </si>
  <si>
    <t>Public Service Co. of Oklahoma</t>
  </si>
  <si>
    <t>OK</t>
  </si>
  <si>
    <t>Kingsport Power Co.</t>
  </si>
  <si>
    <t>TN</t>
  </si>
  <si>
    <t>AEP Texas Inc.</t>
  </si>
  <si>
    <t>TX</t>
  </si>
  <si>
    <t>Appalachian Power Co.</t>
  </si>
  <si>
    <t>VA</t>
  </si>
  <si>
    <t>Appalachian Pwr. Co./Wheeling Pwr. Co.</t>
  </si>
  <si>
    <t>WV</t>
  </si>
  <si>
    <t>CMS ENERGY</t>
  </si>
  <si>
    <t>Consumers Energy Co.</t>
  </si>
  <si>
    <t>NJ</t>
  </si>
  <si>
    <t>Consolidated Edison Co. of New York Inc.</t>
  </si>
  <si>
    <t>NY</t>
  </si>
  <si>
    <t>DTE ENERGY CO.</t>
  </si>
  <si>
    <t>DTE Electric Co.</t>
  </si>
  <si>
    <t>DUKE ENERGY</t>
  </si>
  <si>
    <t>Duke Energy Florida LLC</t>
  </si>
  <si>
    <t>FL</t>
  </si>
  <si>
    <t>Duke Energy Indiana LLC</t>
  </si>
  <si>
    <t>Duke Energy Kentucky Inc.</t>
  </si>
  <si>
    <t>Duke Energy Carolinas LLC</t>
  </si>
  <si>
    <t>NC</t>
  </si>
  <si>
    <t>Duke Energy Progress LLC</t>
  </si>
  <si>
    <t>Duke Energy Ohio Inc.</t>
  </si>
  <si>
    <t>SC</t>
  </si>
  <si>
    <t>ENTERGY CORP.</t>
  </si>
  <si>
    <t>Entergy Arkansas LLC</t>
  </si>
  <si>
    <t>Entergy New Orleans LLC</t>
  </si>
  <si>
    <t>Entergy Louisiana LLC</t>
  </si>
  <si>
    <t>Entergy Mississippi LLC</t>
  </si>
  <si>
    <t>MS</t>
  </si>
  <si>
    <t>Entergy Texas Inc.</t>
  </si>
  <si>
    <t>EVERGY, INC.</t>
  </si>
  <si>
    <t>Evergy Kansas Central Inc.</t>
  </si>
  <si>
    <t>KS</t>
  </si>
  <si>
    <t>Evergy Kansas South Inc.</t>
  </si>
  <si>
    <t>Evergy Metro Inc.</t>
  </si>
  <si>
    <t>Evergy Missouri West Inc.</t>
  </si>
  <si>
    <t>EVERSOURCE ENERGY</t>
  </si>
  <si>
    <t>Connecticut Light and Power Co.</t>
  </si>
  <si>
    <t>CT</t>
  </si>
  <si>
    <t>NSTAR Electric Co.</t>
  </si>
  <si>
    <t>MA</t>
  </si>
  <si>
    <t>Public Service Co. of New Hampshire</t>
  </si>
  <si>
    <t>NH</t>
  </si>
  <si>
    <t>Delmarva Power &amp; Light Co.</t>
  </si>
  <si>
    <t>DE</t>
  </si>
  <si>
    <t>Potomac Electric Power Co.</t>
  </si>
  <si>
    <t>DC</t>
  </si>
  <si>
    <t>Commonwealth Edison Co.</t>
  </si>
  <si>
    <t>MD</t>
  </si>
  <si>
    <t>Atlantic City Electric Co.</t>
  </si>
  <si>
    <t>PECO Energy Co.</t>
  </si>
  <si>
    <t>PA</t>
  </si>
  <si>
    <t>IDACORP</t>
  </si>
  <si>
    <t>Idaho Power Co.</t>
  </si>
  <si>
    <t>ID</t>
  </si>
  <si>
    <t>OR</t>
  </si>
  <si>
    <t>PUB SV ENTERPRISE GRP</t>
  </si>
  <si>
    <t>Public Service Electric &amp; Gas Co.</t>
  </si>
  <si>
    <t>SEMPRA ENERGY</t>
  </si>
  <si>
    <t>San Diego Gas &amp; Electric Co.</t>
  </si>
  <si>
    <t>CA</t>
  </si>
  <si>
    <t>Oncor Electric Delivery Co.</t>
  </si>
  <si>
    <t>Wisconsin Electric Power Co.</t>
  </si>
  <si>
    <t>Wisconsin Public Service Corp.</t>
  </si>
  <si>
    <t>Public Service Co. of Colorado</t>
  </si>
  <si>
    <t>CO</t>
  </si>
  <si>
    <t>Southwestern Public Service Co.</t>
  </si>
  <si>
    <t>NM</t>
  </si>
  <si>
    <t>ND</t>
  </si>
  <si>
    <t>SD</t>
  </si>
  <si>
    <t>Page 1 of 3</t>
  </si>
  <si>
    <t xml:space="preserve">Company </t>
  </si>
  <si>
    <t>Price</t>
  </si>
  <si>
    <t>Dividends</t>
  </si>
  <si>
    <t>Yield</t>
  </si>
  <si>
    <t xml:space="preserve">     Average</t>
  </si>
  <si>
    <t>Min</t>
  </si>
  <si>
    <t>Max</t>
  </si>
  <si>
    <t>Page 2 of 3</t>
  </si>
  <si>
    <t>Earnings Growth</t>
  </si>
  <si>
    <t>br+sv</t>
  </si>
  <si>
    <t>V Line</t>
  </si>
  <si>
    <t>Growth</t>
  </si>
  <si>
    <t>Page 3 of 3</t>
  </si>
  <si>
    <t>Average (b)</t>
  </si>
  <si>
    <t>Excludes highlighted values.</t>
  </si>
  <si>
    <t>Threshold Min</t>
  </si>
  <si>
    <t>Threshold Max</t>
  </si>
  <si>
    <t>FERC</t>
  </si>
  <si>
    <t>Page 1 of 2</t>
  </si>
  <si>
    <t>Page 2 of 2</t>
  </si>
  <si>
    <t>Adjustment</t>
  </si>
  <si>
    <t>"sv" Factor</t>
  </si>
  <si>
    <t>Chg</t>
  </si>
  <si>
    <t>Common Shares</t>
  </si>
  <si>
    <t xml:space="preserve">Company                    </t>
  </si>
  <si>
    <t>EPS</t>
  </si>
  <si>
    <t>DPS</t>
  </si>
  <si>
    <t>BVPS</t>
  </si>
  <si>
    <t xml:space="preserve">   b   </t>
  </si>
  <si>
    <t xml:space="preserve">   r   </t>
  </si>
  <si>
    <t>Factor</t>
  </si>
  <si>
    <t>Adjusted r</t>
  </si>
  <si>
    <t xml:space="preserve">   br   </t>
  </si>
  <si>
    <t xml:space="preserve">   s   </t>
  </si>
  <si>
    <t xml:space="preserve">   v   </t>
  </si>
  <si>
    <t xml:space="preserve">   sv   </t>
  </si>
  <si>
    <t>Eq Ratio</t>
  </si>
  <si>
    <t>Tot Cap</t>
  </si>
  <si>
    <t>Com Eq</t>
  </si>
  <si>
    <t>Equity</t>
  </si>
  <si>
    <t>High</t>
  </si>
  <si>
    <t>Low</t>
  </si>
  <si>
    <t>Avg.</t>
  </si>
  <si>
    <t>M/B</t>
  </si>
  <si>
    <t>"b" is the retention ratio, computed as (EPS-DPS)/EPS.</t>
  </si>
  <si>
    <t>"r" is the rate of return on book equity, computed as EPS/BVPS.</t>
  </si>
  <si>
    <t>Computed using the formula 2*(1+5-Yr. Change in Equity)/(2+5 Yr. Change in Equity).</t>
  </si>
  <si>
    <t>Product of change in common shares outstanding and M/B Ratio.</t>
  </si>
  <si>
    <t>Computed as 1 - B/M Ratio.</t>
  </si>
  <si>
    <t>Product of total capital and equity ratio.</t>
  </si>
  <si>
    <t>Five-year rate of change.</t>
  </si>
  <si>
    <t>Div</t>
  </si>
  <si>
    <t>Proj.</t>
  </si>
  <si>
    <t>Risk-Free</t>
  </si>
  <si>
    <t>Risk</t>
  </si>
  <si>
    <t>Unadjusted</t>
  </si>
  <si>
    <t>Size</t>
  </si>
  <si>
    <t>Adjusted</t>
  </si>
  <si>
    <t>Rate</t>
  </si>
  <si>
    <t>Premium</t>
  </si>
  <si>
    <t>Current Equity Risk Premium</t>
  </si>
  <si>
    <t>Avg. Yield over Study Period</t>
  </si>
  <si>
    <t>Average Utility Bond Yield</t>
  </si>
  <si>
    <t>Change in Bond Yield</t>
  </si>
  <si>
    <t>Risk Premium/Interest Rate Relationship</t>
  </si>
  <si>
    <t>Adjustment to Average Risk Premium</t>
  </si>
  <si>
    <t>Average Risk Premium over Study Period</t>
  </si>
  <si>
    <t>Adjusted Risk Premium</t>
  </si>
  <si>
    <t>Implied Cost of Equity</t>
  </si>
  <si>
    <t>Baa Utility Bond Yield</t>
  </si>
  <si>
    <t>Adjusted Equity Risk Premium</t>
  </si>
  <si>
    <t>Risk Premium Cost of Equity</t>
  </si>
  <si>
    <t>Allowed</t>
  </si>
  <si>
    <t>Average Utility</t>
  </si>
  <si>
    <t>ROE</t>
  </si>
  <si>
    <t>Bond Yield</t>
  </si>
  <si>
    <t>Moody's Investors Service.</t>
  </si>
  <si>
    <t>Ind.</t>
  </si>
  <si>
    <t>Dep.</t>
  </si>
  <si>
    <t>SUMMARY OUTPUT</t>
  </si>
  <si>
    <t>Regression Statistics</t>
  </si>
  <si>
    <t>Multiple R</t>
  </si>
  <si>
    <t>R Square</t>
  </si>
  <si>
    <t>Adjusted R Square</t>
  </si>
  <si>
    <t>Standard Error</t>
  </si>
  <si>
    <t>Observations</t>
  </si>
  <si>
    <t>ANOVA</t>
  </si>
  <si>
    <t>df</t>
  </si>
  <si>
    <t>SS</t>
  </si>
  <si>
    <t>F</t>
  </si>
  <si>
    <t>Significance F</t>
  </si>
  <si>
    <t>Regression</t>
  </si>
  <si>
    <t>Residual</t>
  </si>
  <si>
    <t>Coefficients</t>
  </si>
  <si>
    <t>t Stat</t>
  </si>
  <si>
    <t>P-value</t>
  </si>
  <si>
    <t>Lower 95%</t>
  </si>
  <si>
    <t>Upper 95%</t>
  </si>
  <si>
    <t>Lower 95.0%</t>
  </si>
  <si>
    <t>Upper 95.0%</t>
  </si>
  <si>
    <t>Intercept</t>
  </si>
  <si>
    <t>X Variable 1</t>
  </si>
  <si>
    <t>Expected Return</t>
  </si>
  <si>
    <t>Adjusted Return</t>
  </si>
  <si>
    <t xml:space="preserve">Company                      </t>
  </si>
  <si>
    <t>on Common Equity</t>
  </si>
  <si>
    <t>(a) x (b).</t>
  </si>
  <si>
    <t xml:space="preserve">Company                </t>
  </si>
  <si>
    <t xml:space="preserve">Industry Group      </t>
  </si>
  <si>
    <t>Abbott Labs.</t>
  </si>
  <si>
    <t>Med Supp Non-Invasive</t>
  </si>
  <si>
    <t>ABT</t>
  </si>
  <si>
    <t>APD</t>
  </si>
  <si>
    <t>Amdocs Ltd.</t>
  </si>
  <si>
    <t>IT Services</t>
  </si>
  <si>
    <t>DOX</t>
  </si>
  <si>
    <t>Amgen</t>
  </si>
  <si>
    <t>Biotechnology</t>
  </si>
  <si>
    <t>AMGN</t>
  </si>
  <si>
    <t>AAPL</t>
  </si>
  <si>
    <t>BDX</t>
  </si>
  <si>
    <t>Bristol-Myers Squibb</t>
  </si>
  <si>
    <t>Drug</t>
  </si>
  <si>
    <t>BMY</t>
  </si>
  <si>
    <t>Financial Svcs. (Div.)</t>
  </si>
  <si>
    <t>BRO</t>
  </si>
  <si>
    <t>Brown-Forman 'B'</t>
  </si>
  <si>
    <t>Beverage</t>
  </si>
  <si>
    <t>BF/B</t>
  </si>
  <si>
    <t>Church &amp; Dwight</t>
  </si>
  <si>
    <t>Household Products</t>
  </si>
  <si>
    <t>CHD</t>
  </si>
  <si>
    <t>Cisco Systems</t>
  </si>
  <si>
    <t>Telecom. Equipment</t>
  </si>
  <si>
    <t>CSCO</t>
  </si>
  <si>
    <t>Coca-Cola</t>
  </si>
  <si>
    <t>KO</t>
  </si>
  <si>
    <t>Colgate-Palmolive</t>
  </si>
  <si>
    <t>CL</t>
  </si>
  <si>
    <t>CMCSA</t>
  </si>
  <si>
    <t>Costco Wholesale</t>
  </si>
  <si>
    <t>Retail Store</t>
  </si>
  <si>
    <t>COST</t>
  </si>
  <si>
    <t>Gallagher (Arthur J.)</t>
  </si>
  <si>
    <t>AJG</t>
  </si>
  <si>
    <t>Food Processing</t>
  </si>
  <si>
    <t>GIS</t>
  </si>
  <si>
    <t>Gilead Sciences</t>
  </si>
  <si>
    <t>GILD</t>
  </si>
  <si>
    <t>Hershey Co.</t>
  </si>
  <si>
    <t>HSY</t>
  </si>
  <si>
    <t>Home Depot</t>
  </si>
  <si>
    <t>Retail Building Supply</t>
  </si>
  <si>
    <t>HD</t>
  </si>
  <si>
    <t>Hormel Foods</t>
  </si>
  <si>
    <t>HRL</t>
  </si>
  <si>
    <t>Brokers &amp; Exchanges</t>
  </si>
  <si>
    <t>ICE</t>
  </si>
  <si>
    <t>Johnson &amp; Johnson</t>
  </si>
  <si>
    <t>JNJ</t>
  </si>
  <si>
    <t>Kimberly-Clark</t>
  </si>
  <si>
    <t>KMB</t>
  </si>
  <si>
    <t>Lilly (Eli)</t>
  </si>
  <si>
    <t>LLY</t>
  </si>
  <si>
    <t>Lockheed Martin</t>
  </si>
  <si>
    <t>Aerospace/Defense</t>
  </si>
  <si>
    <t>LMT</t>
  </si>
  <si>
    <t>Marsh &amp; McLennan</t>
  </si>
  <si>
    <t>MMC</t>
  </si>
  <si>
    <t>MKC</t>
  </si>
  <si>
    <t>McDonald's Corp.</t>
  </si>
  <si>
    <t>Restaurant</t>
  </si>
  <si>
    <t>MCD</t>
  </si>
  <si>
    <t>McKesson Corp.</t>
  </si>
  <si>
    <t>MCK</t>
  </si>
  <si>
    <t>Merck &amp; Co.</t>
  </si>
  <si>
    <t>MRK</t>
  </si>
  <si>
    <t>Microsoft Corp.</t>
  </si>
  <si>
    <t>Computer Software</t>
  </si>
  <si>
    <t>MSFT</t>
  </si>
  <si>
    <t>Mondelez Int'l</t>
  </si>
  <si>
    <t>MDLZ</t>
  </si>
  <si>
    <t>NewMarket Corp.</t>
  </si>
  <si>
    <t>Chemical (Specialty)</t>
  </si>
  <si>
    <t>NEU</t>
  </si>
  <si>
    <t>Northrop Grumman</t>
  </si>
  <si>
    <t>NOC</t>
  </si>
  <si>
    <t>ORCL</t>
  </si>
  <si>
    <t>PepsiCo, Inc.</t>
  </si>
  <si>
    <t>PEP</t>
  </si>
  <si>
    <t>Procter &amp; Gamble</t>
  </si>
  <si>
    <t>PG</t>
  </si>
  <si>
    <t>Progressive Corp.</t>
  </si>
  <si>
    <t>Insurance (Prop/Cas.)</t>
  </si>
  <si>
    <t>PGR</t>
  </si>
  <si>
    <t>Republic Services</t>
  </si>
  <si>
    <t>Environmental</t>
  </si>
  <si>
    <t>RSG</t>
  </si>
  <si>
    <t>Roper Tech.</t>
  </si>
  <si>
    <t>ROP</t>
  </si>
  <si>
    <t>SJM</t>
  </si>
  <si>
    <t>TXN</t>
  </si>
  <si>
    <t>Thermo Fisher Sci.</t>
  </si>
  <si>
    <t>TMO</t>
  </si>
  <si>
    <t>TRV</t>
  </si>
  <si>
    <t>UNH</t>
  </si>
  <si>
    <t>Walmart Inc.</t>
  </si>
  <si>
    <t>WMT</t>
  </si>
  <si>
    <t>Waste Management</t>
  </si>
  <si>
    <t>WM</t>
  </si>
  <si>
    <t>Sum of dividend yield (p. 1) and respective growth rate (p. 2).</t>
  </si>
  <si>
    <t>Mid</t>
  </si>
  <si>
    <t>Excludes highlighted figures.</t>
  </si>
  <si>
    <t>Criteria Min</t>
  </si>
  <si>
    <t>Criteria Max</t>
  </si>
  <si>
    <t>Value Line Projected (b)</t>
  </si>
  <si>
    <t>Common</t>
  </si>
  <si>
    <t>Current</t>
  </si>
  <si>
    <t>Long-Term</t>
  </si>
  <si>
    <t>Debt</t>
  </si>
  <si>
    <t>Preferred</t>
  </si>
  <si>
    <t>Maturities</t>
  </si>
  <si>
    <t>Equity (i)</t>
  </si>
  <si>
    <t>Minimum</t>
  </si>
  <si>
    <t>Maximum</t>
  </si>
  <si>
    <t>SEC Form 10-K reports.</t>
  </si>
  <si>
    <t>(i)  Includes non-controlling interests.</t>
  </si>
  <si>
    <t>Operating Company</t>
  </si>
  <si>
    <t>Common Equity</t>
  </si>
  <si>
    <t>Source:
10-K unless otherwise noted</t>
  </si>
  <si>
    <t>Interstate Power &amp; Light</t>
  </si>
  <si>
    <t>Wisconsin Power &amp; Light</t>
  </si>
  <si>
    <t>AEP Texas, Inc.</t>
  </si>
  <si>
    <t>Southwestern Electric Pwr Co.</t>
  </si>
  <si>
    <t>Wheeling Power Co.</t>
  </si>
  <si>
    <t>Duke Energy Carolinas</t>
  </si>
  <si>
    <t>Duke Energy Florida</t>
  </si>
  <si>
    <t>Duke Energy Indiana</t>
  </si>
  <si>
    <t>Duke Energy Ohio</t>
  </si>
  <si>
    <t>Duke Energy Progress</t>
  </si>
  <si>
    <t>Duke Energy Kentucky</t>
  </si>
  <si>
    <t>Entergy Arkansas Inc.</t>
  </si>
  <si>
    <t>Entergy Mississippi Inc.</t>
  </si>
  <si>
    <t>Entergy New Orleans Inc.</t>
  </si>
  <si>
    <t>Evergy Metro</t>
  </si>
  <si>
    <t>Evergy Kansas Central</t>
  </si>
  <si>
    <t>Connecticut Light &amp; Power</t>
  </si>
  <si>
    <t>Pub Service Electric &amp; Gas Co.</t>
  </si>
  <si>
    <t>San Diego Gas &amp; Electric</t>
  </si>
  <si>
    <t>Oncor Electric Delivery</t>
  </si>
  <si>
    <t>Minimum (b)</t>
  </si>
  <si>
    <t>Maximum (b)</t>
  </si>
  <si>
    <t>RISK MEASURES</t>
  </si>
  <si>
    <t>ELECTRIC UTILITY GROUP</t>
  </si>
  <si>
    <t>Corporate</t>
  </si>
  <si>
    <t>Long-term</t>
  </si>
  <si>
    <t>NON-UTILITY GROUP</t>
  </si>
  <si>
    <t>AA-</t>
  </si>
  <si>
    <t>Aa3</t>
  </si>
  <si>
    <t>A+</t>
  </si>
  <si>
    <t>A</t>
  </si>
  <si>
    <t>A2</t>
  </si>
  <si>
    <t>A++</t>
  </si>
  <si>
    <t>BBB</t>
  </si>
  <si>
    <t>AA+</t>
  </si>
  <si>
    <t>Aaa</t>
  </si>
  <si>
    <t>Baa2</t>
  </si>
  <si>
    <t>BBB-</t>
  </si>
  <si>
    <t>Baa3</t>
  </si>
  <si>
    <t>A-</t>
  </si>
  <si>
    <t>A1</t>
  </si>
  <si>
    <t>A3</t>
  </si>
  <si>
    <t>AAA</t>
  </si>
  <si>
    <t>AA</t>
  </si>
  <si>
    <t>Aa2</t>
  </si>
  <si>
    <t>Date</t>
  </si>
  <si>
    <t>Est'd Div'd</t>
  </si>
  <si>
    <t>EPS Growth Rates</t>
  </si>
  <si>
    <t>Shares</t>
  </si>
  <si>
    <t>Weighted</t>
  </si>
  <si>
    <t>Unadjusted Data</t>
  </si>
  <si>
    <t>next 12</t>
  </si>
  <si>
    <t>Dividend</t>
  </si>
  <si>
    <t>VL</t>
  </si>
  <si>
    <t>Outstanding</t>
  </si>
  <si>
    <t>Dividend Yield</t>
  </si>
  <si>
    <t>Value</t>
  </si>
  <si>
    <t>Ticker</t>
  </si>
  <si>
    <t>mos.</t>
  </si>
  <si>
    <t>Screened</t>
  </si>
  <si>
    <t>($Millions)</t>
  </si>
  <si>
    <t>($Billions)</t>
  </si>
  <si>
    <t>Weight</t>
  </si>
  <si>
    <t>Product</t>
  </si>
  <si>
    <t>Mkt. Cap.</t>
  </si>
  <si>
    <t>Line</t>
  </si>
  <si>
    <t>Agilent Technologies Inc</t>
  </si>
  <si>
    <t>Apple Inc</t>
  </si>
  <si>
    <t>AbbVie Inc</t>
  </si>
  <si>
    <t>ABBV</t>
  </si>
  <si>
    <t>Abbott Laboratories</t>
  </si>
  <si>
    <t>Accenture PLC</t>
  </si>
  <si>
    <t>ACN</t>
  </si>
  <si>
    <t>Analog Devices Inc</t>
  </si>
  <si>
    <t>ADI</t>
  </si>
  <si>
    <t>Archer-Daniels-Midland Co</t>
  </si>
  <si>
    <t>ADM</t>
  </si>
  <si>
    <t>Automatic Data Processing Inc</t>
  </si>
  <si>
    <t>ADP</t>
  </si>
  <si>
    <t>Ameren Corporation</t>
  </si>
  <si>
    <t>AEE</t>
  </si>
  <si>
    <t>American Electric Power Co Inc</t>
  </si>
  <si>
    <t>AEP</t>
  </si>
  <si>
    <t>AES Corp (The)</t>
  </si>
  <si>
    <t>AES</t>
  </si>
  <si>
    <t>Aflac Incorporated</t>
  </si>
  <si>
    <t>AFL</t>
  </si>
  <si>
    <t>American International Group Inc</t>
  </si>
  <si>
    <t>AIG</t>
  </si>
  <si>
    <t>Assurant Inc.</t>
  </si>
  <si>
    <t>AIZ</t>
  </si>
  <si>
    <t>Arthur J. Gallagher &amp; Co.</t>
  </si>
  <si>
    <t>Albemarle Corp</t>
  </si>
  <si>
    <t>ALB</t>
  </si>
  <si>
    <t>The Allstate Corporation</t>
  </si>
  <si>
    <t>ALL</t>
  </si>
  <si>
    <t>Allegion PLC</t>
  </si>
  <si>
    <t>ALLE</t>
  </si>
  <si>
    <t>Applied Materials Inc</t>
  </si>
  <si>
    <t>AMAT</t>
  </si>
  <si>
    <t>Amcor Plc</t>
  </si>
  <si>
    <t>AMCR</t>
  </si>
  <si>
    <t>AMETEK Inc</t>
  </si>
  <si>
    <t>AME</t>
  </si>
  <si>
    <t>Amgen Inc</t>
  </si>
  <si>
    <t>Ameriprise Financial Inc</t>
  </si>
  <si>
    <t>AMP</t>
  </si>
  <si>
    <t>American Tower Corp</t>
  </si>
  <si>
    <t>AMT</t>
  </si>
  <si>
    <t>Aon plc</t>
  </si>
  <si>
    <t>AON</t>
  </si>
  <si>
    <t>A. O. Smith Corp</t>
  </si>
  <si>
    <t>AOS</t>
  </si>
  <si>
    <t>APA Corporation</t>
  </si>
  <si>
    <t>APA</t>
  </si>
  <si>
    <t>Air Products and Chemicals Inc.</t>
  </si>
  <si>
    <t>Amphenol Corp</t>
  </si>
  <si>
    <t>APH</t>
  </si>
  <si>
    <t>Alexandria Real Estate Equities Inc.</t>
  </si>
  <si>
    <t>ARE</t>
  </si>
  <si>
    <t>Atmos Energy Corp</t>
  </si>
  <si>
    <t>ATO</t>
  </si>
  <si>
    <t>AvalonBay Communities Inc.</t>
  </si>
  <si>
    <t>AVB</t>
  </si>
  <si>
    <t>Broadcom Inc</t>
  </si>
  <si>
    <t>AVGO</t>
  </si>
  <si>
    <t>Avery Dennison Corp</t>
  </si>
  <si>
    <t>AVY</t>
  </si>
  <si>
    <t>American Water Works Company Inc</t>
  </si>
  <si>
    <t>AWK</t>
  </si>
  <si>
    <t>American Express Co</t>
  </si>
  <si>
    <t>AXP</t>
  </si>
  <si>
    <t>Bank of America Corp</t>
  </si>
  <si>
    <t>BAC</t>
  </si>
  <si>
    <t>Ball Corporation</t>
  </si>
  <si>
    <t>BALL</t>
  </si>
  <si>
    <t>Baxter International Inc</t>
  </si>
  <si>
    <t>BAX</t>
  </si>
  <si>
    <t>Best Buy Co Inc</t>
  </si>
  <si>
    <t>BBY</t>
  </si>
  <si>
    <t>Becton Dickinson and Co</t>
  </si>
  <si>
    <t>Franklin Resources Inc</t>
  </si>
  <si>
    <t>BEN</t>
  </si>
  <si>
    <t>Brown-Forman Corp</t>
  </si>
  <si>
    <t>Bunge Global SA</t>
  </si>
  <si>
    <t>BG</t>
  </si>
  <si>
    <t>Bank of New York Mellon Corp (The)</t>
  </si>
  <si>
    <t>BK</t>
  </si>
  <si>
    <t>Baker Hughes a GE Co</t>
  </si>
  <si>
    <t>BKR</t>
  </si>
  <si>
    <t>BLK</t>
  </si>
  <si>
    <t>Bristol-Myers Squibb Co</t>
  </si>
  <si>
    <t>Brown &amp; Brown Inc</t>
  </si>
  <si>
    <t>Blackstone Inc</t>
  </si>
  <si>
    <t>BX</t>
  </si>
  <si>
    <t>BXP</t>
  </si>
  <si>
    <t>Citigroup Inc</t>
  </si>
  <si>
    <t>Conagra Brands Inc</t>
  </si>
  <si>
    <t>CAG</t>
  </si>
  <si>
    <t>Carrier Global Corp</t>
  </si>
  <si>
    <t>CARR</t>
  </si>
  <si>
    <t>Caterpillar Inc</t>
  </si>
  <si>
    <t>CAT</t>
  </si>
  <si>
    <t>Chubb Ltd</t>
  </si>
  <si>
    <t>CB</t>
  </si>
  <si>
    <t>Cboe Global Markets Inc</t>
  </si>
  <si>
    <t>CBOE</t>
  </si>
  <si>
    <t>Crown Castle Inc</t>
  </si>
  <si>
    <t>CCI</t>
  </si>
  <si>
    <t>CDW Corp</t>
  </si>
  <si>
    <t>CDW</t>
  </si>
  <si>
    <t>Constellation Energy Corp</t>
  </si>
  <si>
    <t>CEG</t>
  </si>
  <si>
    <t>CF Industries Holdings Inc</t>
  </si>
  <si>
    <t>CF</t>
  </si>
  <si>
    <t>Citizens Financial Group Inc</t>
  </si>
  <si>
    <t>CFG</t>
  </si>
  <si>
    <t>Church &amp; Dwight Co Inc</t>
  </si>
  <si>
    <t>C.H. Robinson Worldwide Inc.</t>
  </si>
  <si>
    <t>CHRW</t>
  </si>
  <si>
    <t>The Cigna Group</t>
  </si>
  <si>
    <t>CI</t>
  </si>
  <si>
    <t>Cincinnati Financial Corp</t>
  </si>
  <si>
    <t>CINF</t>
  </si>
  <si>
    <t>Colgate-Palmolive Co</t>
  </si>
  <si>
    <t>Clorox Co (The)</t>
  </si>
  <si>
    <t>CLX</t>
  </si>
  <si>
    <t>Comcast Corp</t>
  </si>
  <si>
    <t>CME Group Inc</t>
  </si>
  <si>
    <t>CME</t>
  </si>
  <si>
    <t>Cummins Inc.</t>
  </si>
  <si>
    <t>CMI</t>
  </si>
  <si>
    <t>CMS Energy Corp</t>
  </si>
  <si>
    <t>CMS</t>
  </si>
  <si>
    <t>CenterPoint Energy Inc.</t>
  </si>
  <si>
    <t>CNP</t>
  </si>
  <si>
    <t>COF</t>
  </si>
  <si>
    <t>Conocophillips</t>
  </si>
  <si>
    <t>COP</t>
  </si>
  <si>
    <t>Cencora Inc</t>
  </si>
  <si>
    <t>COR</t>
  </si>
  <si>
    <t>Costco Wholesale Corp</t>
  </si>
  <si>
    <t>CPB</t>
  </si>
  <si>
    <t>Camden Property Trust</t>
  </si>
  <si>
    <t>CPT</t>
  </si>
  <si>
    <t>Cisco Systems Inc</t>
  </si>
  <si>
    <t>CSX Corp</t>
  </si>
  <si>
    <t>CSX</t>
  </si>
  <si>
    <t>Cintas Corp</t>
  </si>
  <si>
    <t>CTAS</t>
  </si>
  <si>
    <t>Coterra Energy Inc</t>
  </si>
  <si>
    <t>CTRA</t>
  </si>
  <si>
    <t>Cognizant Technology Solutions Corp</t>
  </si>
  <si>
    <t>CTSH</t>
  </si>
  <si>
    <t>Corteva Inc</t>
  </si>
  <si>
    <t>CTVA</t>
  </si>
  <si>
    <t>CVS Health Corp</t>
  </si>
  <si>
    <t>CVS</t>
  </si>
  <si>
    <t>Chevron Corp</t>
  </si>
  <si>
    <t>CVX</t>
  </si>
  <si>
    <t>Dominion Energy Inc</t>
  </si>
  <si>
    <t>DuPont  De Nemours Inc</t>
  </si>
  <si>
    <t>DD</t>
  </si>
  <si>
    <t>DEERE &amp; COMPANY</t>
  </si>
  <si>
    <t>Discover Financial Services</t>
  </si>
  <si>
    <t>DFS</t>
  </si>
  <si>
    <t>Dollar General Corporation</t>
  </si>
  <si>
    <t>DG</t>
  </si>
  <si>
    <t>Quest Diagnostics Inc</t>
  </si>
  <si>
    <t>DGX</t>
  </si>
  <si>
    <t>D.R. Horton Inc</t>
  </si>
  <si>
    <t>DHI</t>
  </si>
  <si>
    <t>Danaher Corp</t>
  </si>
  <si>
    <t>DHR</t>
  </si>
  <si>
    <t>Walt Disney Co (The)</t>
  </si>
  <si>
    <t>DIS</t>
  </si>
  <si>
    <t>Digital Realty Trust Inc</t>
  </si>
  <si>
    <t>DLR</t>
  </si>
  <si>
    <t>Dover Corp</t>
  </si>
  <si>
    <t>DOV</t>
  </si>
  <si>
    <t>Dow Inc</t>
  </si>
  <si>
    <t>DOW</t>
  </si>
  <si>
    <t>Domino's Pizza Inc</t>
  </si>
  <si>
    <t>DPZ</t>
  </si>
  <si>
    <t>Darden Restaurants Inc</t>
  </si>
  <si>
    <t>DRI</t>
  </si>
  <si>
    <t>DTE Energy Co</t>
  </si>
  <si>
    <t>DTE</t>
  </si>
  <si>
    <t>Duke Energy Corp</t>
  </si>
  <si>
    <t>DUK</t>
  </si>
  <si>
    <t>Devon Energy Corp</t>
  </si>
  <si>
    <t>DVN</t>
  </si>
  <si>
    <t>Electronic Arts Inc</t>
  </si>
  <si>
    <t>EA</t>
  </si>
  <si>
    <t>eBay Inc.</t>
  </si>
  <si>
    <t>EBAY</t>
  </si>
  <si>
    <t>Ecolab Inc.</t>
  </si>
  <si>
    <t>ECL</t>
  </si>
  <si>
    <t>Consolidated Edison Inc.</t>
  </si>
  <si>
    <t>ED</t>
  </si>
  <si>
    <t>Equifax Inc.</t>
  </si>
  <si>
    <t>EFX</t>
  </si>
  <si>
    <t>Everest Group Ltd</t>
  </si>
  <si>
    <t>EG</t>
  </si>
  <si>
    <t>EIX</t>
  </si>
  <si>
    <t>Estee Lauder Cos Inc (The)</t>
  </si>
  <si>
    <t>EL</t>
  </si>
  <si>
    <t>Elevance Health Inc</t>
  </si>
  <si>
    <t>ELV</t>
  </si>
  <si>
    <t>Eastman Chemical Co</t>
  </si>
  <si>
    <t>EMN</t>
  </si>
  <si>
    <t>Emerson Electric Co.</t>
  </si>
  <si>
    <t>EMR</t>
  </si>
  <si>
    <t>EOG Resources Inc.</t>
  </si>
  <si>
    <t>EOG</t>
  </si>
  <si>
    <t>Equinix Inc</t>
  </si>
  <si>
    <t>EQIX</t>
  </si>
  <si>
    <t>Equity Residential</t>
  </si>
  <si>
    <t>EQR</t>
  </si>
  <si>
    <t>EQT Corp</t>
  </si>
  <si>
    <t>EQT</t>
  </si>
  <si>
    <t>ES</t>
  </si>
  <si>
    <t>Essex Property Trust Inc.</t>
  </si>
  <si>
    <t>ESS</t>
  </si>
  <si>
    <t>Eaton Corporation plc</t>
  </si>
  <si>
    <t>ETN</t>
  </si>
  <si>
    <t>Entergy corporation</t>
  </si>
  <si>
    <t>ETR</t>
  </si>
  <si>
    <t>Evergy Inc</t>
  </si>
  <si>
    <t>EVRG</t>
  </si>
  <si>
    <t>Exelon Corp</t>
  </si>
  <si>
    <t>EXC</t>
  </si>
  <si>
    <t>Expeditors International of Washington Inc.</t>
  </si>
  <si>
    <t>EXPD</t>
  </si>
  <si>
    <t>Extra Space Storage Inc</t>
  </si>
  <si>
    <t>EXR</t>
  </si>
  <si>
    <t>Ford Motor Co</t>
  </si>
  <si>
    <t>Diamondback Energy Inc</t>
  </si>
  <si>
    <t>FANG</t>
  </si>
  <si>
    <t>Fastenal Co</t>
  </si>
  <si>
    <t>FAST</t>
  </si>
  <si>
    <t>Freeport-McMoRan Inc</t>
  </si>
  <si>
    <t>FCX</t>
  </si>
  <si>
    <t>FactSet Research Systems Inc.</t>
  </si>
  <si>
    <t>FDS</t>
  </si>
  <si>
    <t>FedEx Corp.</t>
  </si>
  <si>
    <t>FDX</t>
  </si>
  <si>
    <t>FE</t>
  </si>
  <si>
    <t>Fidelity National Information Services Inc</t>
  </si>
  <si>
    <t>FIS</t>
  </si>
  <si>
    <t>Fifth Third Bancorp</t>
  </si>
  <si>
    <t>FITB</t>
  </si>
  <si>
    <t>Federal Realty Investment Trust</t>
  </si>
  <si>
    <t>FRT</t>
  </si>
  <si>
    <t>Fortive Corp</t>
  </si>
  <si>
    <t>FTV</t>
  </si>
  <si>
    <t>General Dynamics Corp</t>
  </si>
  <si>
    <t>GD</t>
  </si>
  <si>
    <t>GE</t>
  </si>
  <si>
    <t>GE HealthCare Technologies Inc</t>
  </si>
  <si>
    <t>GEHC</t>
  </si>
  <si>
    <t>Gen Digital Inc</t>
  </si>
  <si>
    <t>GEN</t>
  </si>
  <si>
    <t>Gilead Sciences Inc</t>
  </si>
  <si>
    <t>General Mills Inc.</t>
  </si>
  <si>
    <t>Globe Life Inc</t>
  </si>
  <si>
    <t>GL</t>
  </si>
  <si>
    <t>Corning Inc</t>
  </si>
  <si>
    <t>GLW</t>
  </si>
  <si>
    <t>General Motors Co</t>
  </si>
  <si>
    <t>GM</t>
  </si>
  <si>
    <t>Genuine Parts Co</t>
  </si>
  <si>
    <t>GPC</t>
  </si>
  <si>
    <t>GPN</t>
  </si>
  <si>
    <t>Garmin Ltd</t>
  </si>
  <si>
    <t>GRMN</t>
  </si>
  <si>
    <t>Goldman Sachs Group Inc (The)</t>
  </si>
  <si>
    <t>GS</t>
  </si>
  <si>
    <t>Grainger (W.W.) Inc</t>
  </si>
  <si>
    <t>GWW</t>
  </si>
  <si>
    <t>Halliburton Co</t>
  </si>
  <si>
    <t>HAL</t>
  </si>
  <si>
    <t>Hasbro Inc.</t>
  </si>
  <si>
    <t>HAS</t>
  </si>
  <si>
    <t>Huntington Bancshares Inc</t>
  </si>
  <si>
    <t>HBAN</t>
  </si>
  <si>
    <t>HCA Healthcare Inc</t>
  </si>
  <si>
    <t>HCA</t>
  </si>
  <si>
    <t>Home Depot Inc. (The)</t>
  </si>
  <si>
    <t>Hess Corp</t>
  </si>
  <si>
    <t>HES</t>
  </si>
  <si>
    <t>HIG</t>
  </si>
  <si>
    <t>Huntington Ingalls Industries Inc</t>
  </si>
  <si>
    <t>HII</t>
  </si>
  <si>
    <t>Hilton Worldwide Holdings Inc</t>
  </si>
  <si>
    <t>HLT</t>
  </si>
  <si>
    <t>Honeywell International Inc</t>
  </si>
  <si>
    <t>HON</t>
  </si>
  <si>
    <t>Hewlett Packard Enterprise Co</t>
  </si>
  <si>
    <t>HPE</t>
  </si>
  <si>
    <t>HP Inc</t>
  </si>
  <si>
    <t>HPQ</t>
  </si>
  <si>
    <t>Hormel Foods Corp</t>
  </si>
  <si>
    <t>Host Hotels &amp; Resorts Inc</t>
  </si>
  <si>
    <t>HST</t>
  </si>
  <si>
    <t>Hershey Co (The)</t>
  </si>
  <si>
    <t>Humana Inc.</t>
  </si>
  <si>
    <t>HUM</t>
  </si>
  <si>
    <t>Howmet Aerospace Inc</t>
  </si>
  <si>
    <t>HWM</t>
  </si>
  <si>
    <t>International Business Machines Corp</t>
  </si>
  <si>
    <t>IBM</t>
  </si>
  <si>
    <t>Intercontinental Exchange Inc</t>
  </si>
  <si>
    <t>IDEX Corp</t>
  </si>
  <si>
    <t>IEX</t>
  </si>
  <si>
    <t>International Flavors &amp; Fragrances Inc</t>
  </si>
  <si>
    <t>IFF</t>
  </si>
  <si>
    <t>Intuit Inc.</t>
  </si>
  <si>
    <t>INTU</t>
  </si>
  <si>
    <t>IP</t>
  </si>
  <si>
    <t>Interpublic Group of Cos Inc (The)</t>
  </si>
  <si>
    <t>IPG</t>
  </si>
  <si>
    <t>Ingersoll Rand Inc</t>
  </si>
  <si>
    <t>IR</t>
  </si>
  <si>
    <t>Iron Mountain Inc</t>
  </si>
  <si>
    <t>IRM</t>
  </si>
  <si>
    <t>Illinois Tool Works Inc.</t>
  </si>
  <si>
    <t>ITW</t>
  </si>
  <si>
    <t>Invesco Ltd</t>
  </si>
  <si>
    <t>IVZ</t>
  </si>
  <si>
    <t>Jacobs Solutions Inc</t>
  </si>
  <si>
    <t>J</t>
  </si>
  <si>
    <t>J.B. Hunt Transport Services Inc.</t>
  </si>
  <si>
    <t>JBHT</t>
  </si>
  <si>
    <t>Jabil Inc</t>
  </si>
  <si>
    <t>JBL</t>
  </si>
  <si>
    <t>Johnson Controls International Plc</t>
  </si>
  <si>
    <t>JCI</t>
  </si>
  <si>
    <t>Henry (Jack) &amp; Associates Inc</t>
  </si>
  <si>
    <t>JKHY</t>
  </si>
  <si>
    <t>Juniper Networks Inc</t>
  </si>
  <si>
    <t>JNPR</t>
  </si>
  <si>
    <t>JPMorgan Chase &amp; Co</t>
  </si>
  <si>
    <t>JPM</t>
  </si>
  <si>
    <t>Kellanova</t>
  </si>
  <si>
    <t>K</t>
  </si>
  <si>
    <t>Keurig Dr Pepper Inc</t>
  </si>
  <si>
    <t>KDP</t>
  </si>
  <si>
    <t>KeyCorp</t>
  </si>
  <si>
    <t>KEY</t>
  </si>
  <si>
    <t>The Kraft Heinz Co</t>
  </si>
  <si>
    <t>KHC</t>
  </si>
  <si>
    <t>Kimco Realty Corp</t>
  </si>
  <si>
    <t>KIM</t>
  </si>
  <si>
    <t>KLA Corp</t>
  </si>
  <si>
    <t>KLAC</t>
  </si>
  <si>
    <t>Kimberly-Clark Corp</t>
  </si>
  <si>
    <t>Kinder Morgan Inc.</t>
  </si>
  <si>
    <t>KMI</t>
  </si>
  <si>
    <t>Coca-Cola Co (The)</t>
  </si>
  <si>
    <t>Kroger Co. (The)</t>
  </si>
  <si>
    <t>KR</t>
  </si>
  <si>
    <t>Kenvue Inc</t>
  </si>
  <si>
    <t>KVUE</t>
  </si>
  <si>
    <t>Loews Corp</t>
  </si>
  <si>
    <t>L</t>
  </si>
  <si>
    <t>Leidos Holdings Inc</t>
  </si>
  <si>
    <t>LDOS</t>
  </si>
  <si>
    <t>Lennar Corp</t>
  </si>
  <si>
    <t>LEN</t>
  </si>
  <si>
    <t>LH</t>
  </si>
  <si>
    <t>L3Harris Technologies Inc</t>
  </si>
  <si>
    <t>LHX</t>
  </si>
  <si>
    <t>Linde Plc</t>
  </si>
  <si>
    <t>LIN</t>
  </si>
  <si>
    <t>LKQ Corporation</t>
  </si>
  <si>
    <t>LKQ</t>
  </si>
  <si>
    <t>Eli Lilly and Co</t>
  </si>
  <si>
    <t>Lockheed Martin Corp</t>
  </si>
  <si>
    <t>Alliant Energy Corporation</t>
  </si>
  <si>
    <t>LNT</t>
  </si>
  <si>
    <t>Lowe's Cos Inc</t>
  </si>
  <si>
    <t>LOW</t>
  </si>
  <si>
    <t>Lam Research Corp</t>
  </si>
  <si>
    <t>LRCX</t>
  </si>
  <si>
    <t>Southwest Airlines Co.</t>
  </si>
  <si>
    <t>LUV</t>
  </si>
  <si>
    <t>Las Vegas Sands Corp</t>
  </si>
  <si>
    <t>LVS</t>
  </si>
  <si>
    <t>Lamb Weston Holdings Inc</t>
  </si>
  <si>
    <t>LW</t>
  </si>
  <si>
    <t>LyondellBasell Industries NV</t>
  </si>
  <si>
    <t>LYB</t>
  </si>
  <si>
    <t>Mastercard Inc</t>
  </si>
  <si>
    <t>Mid-America Apartment Communities Inc</t>
  </si>
  <si>
    <t>MAA</t>
  </si>
  <si>
    <t>Marriott International Inc</t>
  </si>
  <si>
    <t>MAR</t>
  </si>
  <si>
    <t>Masco Corporation</t>
  </si>
  <si>
    <t>MAS</t>
  </si>
  <si>
    <t>McDonald's Corp</t>
  </si>
  <si>
    <t>Microchip Technology Inc</t>
  </si>
  <si>
    <t>MCHP</t>
  </si>
  <si>
    <t>McKesson Corp</t>
  </si>
  <si>
    <t>Moody's Corp.</t>
  </si>
  <si>
    <t>MCO</t>
  </si>
  <si>
    <t>Mondelez International Inc</t>
  </si>
  <si>
    <t>Medtronic PLC</t>
  </si>
  <si>
    <t>MDT</t>
  </si>
  <si>
    <t>MET</t>
  </si>
  <si>
    <t>McCormick &amp; Co Inc</t>
  </si>
  <si>
    <t>MarketAxess Holdings Inc</t>
  </si>
  <si>
    <t>MKTX</t>
  </si>
  <si>
    <t>MLM</t>
  </si>
  <si>
    <t>Marsh &amp; McLennan Companies Inc</t>
  </si>
  <si>
    <t>3M Co</t>
  </si>
  <si>
    <t>MMM</t>
  </si>
  <si>
    <t>Altria Group Inc</t>
  </si>
  <si>
    <t>Mosaic Company (The)</t>
  </si>
  <si>
    <t>MOS</t>
  </si>
  <si>
    <t>Marathon Petroleum Corp</t>
  </si>
  <si>
    <t>MPC</t>
  </si>
  <si>
    <t>Monolithic Power Systems Inc</t>
  </si>
  <si>
    <t>MPWR</t>
  </si>
  <si>
    <t>Merck &amp; Co Inc</t>
  </si>
  <si>
    <t>Morgan Stanley</t>
  </si>
  <si>
    <t>MSCI Inc</t>
  </si>
  <si>
    <t>MSCI</t>
  </si>
  <si>
    <t>Microsoft Corp</t>
  </si>
  <si>
    <t>Motorola Solutions Inc</t>
  </si>
  <si>
    <t>MSI</t>
  </si>
  <si>
    <t>M&amp;T Bank Corp</t>
  </si>
  <si>
    <t>MTB</t>
  </si>
  <si>
    <t>Micron Technology Inc.</t>
  </si>
  <si>
    <t>MU</t>
  </si>
  <si>
    <t>Nasdaq Inc</t>
  </si>
  <si>
    <t>NDAQ</t>
  </si>
  <si>
    <t>Nordson Corp</t>
  </si>
  <si>
    <t>NDSN</t>
  </si>
  <si>
    <t>NextEra Energy Inc</t>
  </si>
  <si>
    <t>NEE</t>
  </si>
  <si>
    <t>Newmont Corporation</t>
  </si>
  <si>
    <t>NEM</t>
  </si>
  <si>
    <t>NiSource Inc</t>
  </si>
  <si>
    <t>NI</t>
  </si>
  <si>
    <t>NIKE Inc</t>
  </si>
  <si>
    <t>NKE</t>
  </si>
  <si>
    <t>Northrop Grumman Corp</t>
  </si>
  <si>
    <t>NRG Energy Inc</t>
  </si>
  <si>
    <t>NRG</t>
  </si>
  <si>
    <t>Norfolk Southern Corp</t>
  </si>
  <si>
    <t>NSC</t>
  </si>
  <si>
    <t>NetApp Inc</t>
  </si>
  <si>
    <t>NTAP</t>
  </si>
  <si>
    <t>Northern Trust Corp</t>
  </si>
  <si>
    <t>NTRS</t>
  </si>
  <si>
    <t>Nucor Corp</t>
  </si>
  <si>
    <t>NUE</t>
  </si>
  <si>
    <t>NVIDIA Corporation</t>
  </si>
  <si>
    <t>NVDA</t>
  </si>
  <si>
    <t>News Corp</t>
  </si>
  <si>
    <t>NWSA</t>
  </si>
  <si>
    <t>NXP Semiconductors NV</t>
  </si>
  <si>
    <t>NXPI</t>
  </si>
  <si>
    <t>Old Dominion Freight Line Inc</t>
  </si>
  <si>
    <t>ODFL</t>
  </si>
  <si>
    <t>ONEOK Inc</t>
  </si>
  <si>
    <t>OKE</t>
  </si>
  <si>
    <t>Omnicom Group Inc</t>
  </si>
  <si>
    <t>OMC</t>
  </si>
  <si>
    <t>Oracle Corp</t>
  </si>
  <si>
    <t>Otis Worldwide Corp</t>
  </si>
  <si>
    <t>OTIS</t>
  </si>
  <si>
    <t>Occidental Petroleum Corp</t>
  </si>
  <si>
    <t>OXY</t>
  </si>
  <si>
    <t>Paramount Global</t>
  </si>
  <si>
    <t>PARA</t>
  </si>
  <si>
    <t>Paycom Software Inc</t>
  </si>
  <si>
    <t>PAYC</t>
  </si>
  <si>
    <t>Paychex Inc.</t>
  </si>
  <si>
    <t>PAYX</t>
  </si>
  <si>
    <t>PACCAR Inc</t>
  </si>
  <si>
    <t>PCAR</t>
  </si>
  <si>
    <t>PG&amp;E Corp</t>
  </si>
  <si>
    <t>PCG</t>
  </si>
  <si>
    <t>Healthpeak Properties Inc</t>
  </si>
  <si>
    <t>Public Service Enterprise Group Inc</t>
  </si>
  <si>
    <t>PEG</t>
  </si>
  <si>
    <t>PepsiCo Inc</t>
  </si>
  <si>
    <t>Pfizer Inc</t>
  </si>
  <si>
    <t>PFE</t>
  </si>
  <si>
    <t>Principal Financial Group Inc</t>
  </si>
  <si>
    <t>PFG</t>
  </si>
  <si>
    <t>Procter &amp; Gamble Co (The)</t>
  </si>
  <si>
    <t>Progressive Corp (The)</t>
  </si>
  <si>
    <t>Parker-Hannifin Corp</t>
  </si>
  <si>
    <t>PH</t>
  </si>
  <si>
    <t>PulteGroup Inc</t>
  </si>
  <si>
    <t>PHM</t>
  </si>
  <si>
    <t>Packaging Corp Of America</t>
  </si>
  <si>
    <t>PKG</t>
  </si>
  <si>
    <t>Prologis Inc</t>
  </si>
  <si>
    <t>PLD</t>
  </si>
  <si>
    <t>Philip Morris International Inc</t>
  </si>
  <si>
    <t>PM</t>
  </si>
  <si>
    <t>The PNC Financial Services Group Inc</t>
  </si>
  <si>
    <t>PNC</t>
  </si>
  <si>
    <t>Pentair plc</t>
  </si>
  <si>
    <t>PNR</t>
  </si>
  <si>
    <t>Pinnacle West Capital Corp</t>
  </si>
  <si>
    <t>PNW</t>
  </si>
  <si>
    <t>Pool Corp</t>
  </si>
  <si>
    <t>POOL</t>
  </si>
  <si>
    <t>PPG Industries Inc.</t>
  </si>
  <si>
    <t>PPG</t>
  </si>
  <si>
    <t>PPL Corp</t>
  </si>
  <si>
    <t>PPL</t>
  </si>
  <si>
    <t>Prudential Financial Inc</t>
  </si>
  <si>
    <t>PRU</t>
  </si>
  <si>
    <t>Public Storage</t>
  </si>
  <si>
    <t>PSA</t>
  </si>
  <si>
    <t>Phillips 66</t>
  </si>
  <si>
    <t>PSX</t>
  </si>
  <si>
    <t>Quanta Services Inc.</t>
  </si>
  <si>
    <t>PWR</t>
  </si>
  <si>
    <t>QUALCOMM Inc.</t>
  </si>
  <si>
    <t>QCOM</t>
  </si>
  <si>
    <t>Regency Centers Corp.</t>
  </si>
  <si>
    <t>REG</t>
  </si>
  <si>
    <t>Regions Financial Corp</t>
  </si>
  <si>
    <t>RF</t>
  </si>
  <si>
    <t>Raymond James Financial Inc.</t>
  </si>
  <si>
    <t>RJF</t>
  </si>
  <si>
    <t>Ralph Lauren Corp</t>
  </si>
  <si>
    <t>RL</t>
  </si>
  <si>
    <t>Resmed Inc</t>
  </si>
  <si>
    <t>RMD</t>
  </si>
  <si>
    <t>Rockwell Automation Inc.</t>
  </si>
  <si>
    <t>ROK</t>
  </si>
  <si>
    <t>Rollins Inc</t>
  </si>
  <si>
    <t>ROL</t>
  </si>
  <si>
    <t>Roper Technologies Inc</t>
  </si>
  <si>
    <t>Ross Stores Inc</t>
  </si>
  <si>
    <t>ROST</t>
  </si>
  <si>
    <t>Republic Services Inc.</t>
  </si>
  <si>
    <t>RTX Corp</t>
  </si>
  <si>
    <t>RTX</t>
  </si>
  <si>
    <t>Revvity Inc</t>
  </si>
  <si>
    <t>RVTY</t>
  </si>
  <si>
    <t>SBA Communications Corp</t>
  </si>
  <si>
    <t>SBAC</t>
  </si>
  <si>
    <t>Starbucks Corp</t>
  </si>
  <si>
    <t>SBUX</t>
  </si>
  <si>
    <t>Schwab (Charles) Corp</t>
  </si>
  <si>
    <t>SCHW</t>
  </si>
  <si>
    <t>Sherwin-Williams Co (The)</t>
  </si>
  <si>
    <t>SHW</t>
  </si>
  <si>
    <t>The J M Smucker Company</t>
  </si>
  <si>
    <t>Schlumberger Ltd</t>
  </si>
  <si>
    <t>SLB</t>
  </si>
  <si>
    <t>Snap-On Inc</t>
  </si>
  <si>
    <t>SNA</t>
  </si>
  <si>
    <t>Southern Co (The)</t>
  </si>
  <si>
    <t>SO</t>
  </si>
  <si>
    <t>SPG</t>
  </si>
  <si>
    <t>S&amp;P Global Inc</t>
  </si>
  <si>
    <t>SPGI</t>
  </si>
  <si>
    <t>Sempra</t>
  </si>
  <si>
    <t>SRE</t>
  </si>
  <si>
    <t>Steris Plc</t>
  </si>
  <si>
    <t>STE</t>
  </si>
  <si>
    <t>Steel Dynamics Inc</t>
  </si>
  <si>
    <t>STLD</t>
  </si>
  <si>
    <t>State Street Corporation</t>
  </si>
  <si>
    <t>STT</t>
  </si>
  <si>
    <t>Seagate Technology Holdings plc</t>
  </si>
  <si>
    <t>STX</t>
  </si>
  <si>
    <t>Constellation Brands Inc</t>
  </si>
  <si>
    <t>STZ</t>
  </si>
  <si>
    <t>Stanley Black &amp; Decker Inc</t>
  </si>
  <si>
    <t>SWK</t>
  </si>
  <si>
    <t>Skyworks Solutions Inc</t>
  </si>
  <si>
    <t>SWKS</t>
  </si>
  <si>
    <t>Synchrony Financial</t>
  </si>
  <si>
    <t>SYF</t>
  </si>
  <si>
    <t>Stryker Corp</t>
  </si>
  <si>
    <t>SYK</t>
  </si>
  <si>
    <t>Sysco Corporation</t>
  </si>
  <si>
    <t>SYY</t>
  </si>
  <si>
    <t>AT&amp;T Inc</t>
  </si>
  <si>
    <t>T</t>
  </si>
  <si>
    <t>Molson Coors Beverage Company</t>
  </si>
  <si>
    <t>TAP</t>
  </si>
  <si>
    <t>Bio-Techne Corp</t>
  </si>
  <si>
    <t>TECH</t>
  </si>
  <si>
    <t>TEL</t>
  </si>
  <si>
    <t>Teradyne Inc</t>
  </si>
  <si>
    <t>TER</t>
  </si>
  <si>
    <t>Truist Financial Corp</t>
  </si>
  <si>
    <t>TFC</t>
  </si>
  <si>
    <t>Target Corp</t>
  </si>
  <si>
    <t>TGT</t>
  </si>
  <si>
    <t>TJX Companies Inc (The)</t>
  </si>
  <si>
    <t>TJX</t>
  </si>
  <si>
    <t>Thermo Fisher Scientific Inc</t>
  </si>
  <si>
    <t>T-Mobile US Inc</t>
  </si>
  <si>
    <t>TMUS</t>
  </si>
  <si>
    <t>Tapestry Inc</t>
  </si>
  <si>
    <t>TPR</t>
  </si>
  <si>
    <t>Targa Resources Corp</t>
  </si>
  <si>
    <t>TRGP</t>
  </si>
  <si>
    <t>T. Rowe Price Group Inc</t>
  </si>
  <si>
    <t>TROW</t>
  </si>
  <si>
    <t>Travelers Companies Inc (The)</t>
  </si>
  <si>
    <t>Tractor Supply Co</t>
  </si>
  <si>
    <t>TSCO</t>
  </si>
  <si>
    <t>Tyson Foods Inc.</t>
  </si>
  <si>
    <t>TSN</t>
  </si>
  <si>
    <t>Trane Technologies plc</t>
  </si>
  <si>
    <t>TT</t>
  </si>
  <si>
    <t>Texas Instruments Inc</t>
  </si>
  <si>
    <t>Textron Inc</t>
  </si>
  <si>
    <t>TXT</t>
  </si>
  <si>
    <t>UDR Inc</t>
  </si>
  <si>
    <t>UDR</t>
  </si>
  <si>
    <t>Universal Health Services Inc.</t>
  </si>
  <si>
    <t>UHS</t>
  </si>
  <si>
    <t>UnitedHealth Group Incorporated</t>
  </si>
  <si>
    <t>Union Pacific Corp</t>
  </si>
  <si>
    <t>UNP</t>
  </si>
  <si>
    <t>United Parcel Service Inc</t>
  </si>
  <si>
    <t>UPS</t>
  </si>
  <si>
    <t>United Rentals Inc.</t>
  </si>
  <si>
    <t>URI</t>
  </si>
  <si>
    <t>U.S. Bancorp</t>
  </si>
  <si>
    <t>USB</t>
  </si>
  <si>
    <t>Visa Inc</t>
  </si>
  <si>
    <t>V</t>
  </si>
  <si>
    <t>VICI Properties Inc</t>
  </si>
  <si>
    <t>VICI</t>
  </si>
  <si>
    <t>Valero Energy Corp</t>
  </si>
  <si>
    <t>VLO</t>
  </si>
  <si>
    <t>Vulcan Materials Co</t>
  </si>
  <si>
    <t>VMC</t>
  </si>
  <si>
    <t>VRSK</t>
  </si>
  <si>
    <t>Ventas Inc.</t>
  </si>
  <si>
    <t>VTR</t>
  </si>
  <si>
    <t>Viatris Inc</t>
  </si>
  <si>
    <t>VTRS</t>
  </si>
  <si>
    <t>Verizon Communications Inc</t>
  </si>
  <si>
    <t>VZ</t>
  </si>
  <si>
    <t>Westinghouse Air Brake Technologies Corp</t>
  </si>
  <si>
    <t>WAB</t>
  </si>
  <si>
    <t>WEC Energy Group Inc</t>
  </si>
  <si>
    <t>WEC</t>
  </si>
  <si>
    <t>Welltower Inc</t>
  </si>
  <si>
    <t>WELL</t>
  </si>
  <si>
    <t>Wells Fargo &amp; Co</t>
  </si>
  <si>
    <t>WFC</t>
  </si>
  <si>
    <t>Waste Management Inc.</t>
  </si>
  <si>
    <t>Williams Cos Inc. (The)</t>
  </si>
  <si>
    <t>WMB</t>
  </si>
  <si>
    <t>Walmart Inc</t>
  </si>
  <si>
    <t>Berkley (W.R.) Corp</t>
  </si>
  <si>
    <t>WRB</t>
  </si>
  <si>
    <t>West Pharmaceutical Services Inc.</t>
  </si>
  <si>
    <t>WST</t>
  </si>
  <si>
    <t>Willis Towers Watson plc</t>
  </si>
  <si>
    <t>WTW</t>
  </si>
  <si>
    <t>Weyerhaeuser Co</t>
  </si>
  <si>
    <t>WY</t>
  </si>
  <si>
    <t>Wynn Resorts Ltd</t>
  </si>
  <si>
    <t>WYNN</t>
  </si>
  <si>
    <t>XEL</t>
  </si>
  <si>
    <t>Exxon Mobil Corp</t>
  </si>
  <si>
    <t>XOM</t>
  </si>
  <si>
    <t>Xylem Inc</t>
  </si>
  <si>
    <t>XYL</t>
  </si>
  <si>
    <t>YUM</t>
  </si>
  <si>
    <t>Zimmer Biomet Holdings Inc</t>
  </si>
  <si>
    <t>ZBH</t>
  </si>
  <si>
    <t>Zoetis Inc</t>
  </si>
  <si>
    <t>ZTS</t>
  </si>
  <si>
    <t>Weighted Average</t>
  </si>
  <si>
    <t xml:space="preserve">   Average</t>
  </si>
  <si>
    <t>Not Available</t>
  </si>
  <si>
    <t>NMF</t>
  </si>
  <si>
    <t>Eliminated growth rates that were greater than 20%, as well as all negative values</t>
  </si>
  <si>
    <t>Low-end Screen</t>
  </si>
  <si>
    <t>High-end Screen</t>
  </si>
  <si>
    <t>h</t>
  </si>
  <si>
    <t>30-Yr. Treas.</t>
  </si>
  <si>
    <t>10-Yr. Treas.</t>
  </si>
  <si>
    <t>Aaa Corp.</t>
  </si>
  <si>
    <t>Baa Corp.</t>
  </si>
  <si>
    <t>Public Utility Bonds</t>
  </si>
  <si>
    <t>Baa</t>
  </si>
  <si>
    <t>Aa</t>
  </si>
  <si>
    <t>AVG.</t>
  </si>
  <si>
    <t>Corp.</t>
  </si>
  <si>
    <t>Feb.</t>
  </si>
  <si>
    <t>Moody's Investors Service</t>
  </si>
  <si>
    <t>https://fred.stlouisfed.org/</t>
  </si>
  <si>
    <t>Source:</t>
  </si>
  <si>
    <t>Jan. 2023</t>
  </si>
  <si>
    <t>Apr.</t>
  </si>
  <si>
    <t>May</t>
  </si>
  <si>
    <t xml:space="preserve">Jun. </t>
  </si>
  <si>
    <t>Jul.</t>
  </si>
  <si>
    <t>Sep.</t>
  </si>
  <si>
    <t xml:space="preserve">Oct. </t>
  </si>
  <si>
    <t>Nov.</t>
  </si>
  <si>
    <t>Dec. 2023</t>
  </si>
  <si>
    <t>Average (12 Mo.)</t>
  </si>
  <si>
    <t>Jan. 2022</t>
  </si>
  <si>
    <t>Mar.</t>
  </si>
  <si>
    <t xml:space="preserve">Jul. </t>
  </si>
  <si>
    <t xml:space="preserve">Aug. </t>
  </si>
  <si>
    <t>Oct.</t>
  </si>
  <si>
    <t>Dec. 2022</t>
  </si>
  <si>
    <t>Jan. 2021</t>
  </si>
  <si>
    <t>ELECTRIC UTILITY INDUSTRY</t>
  </si>
  <si>
    <t>Est'd</t>
  </si>
  <si>
    <t>Projected Price</t>
  </si>
  <si>
    <t>Debt Ratio</t>
  </si>
  <si>
    <t>Equity Ratio</t>
  </si>
  <si>
    <t>Total Capital</t>
  </si>
  <si>
    <t>Projected Growth Rates</t>
  </si>
  <si>
    <t>Div'd</t>
  </si>
  <si>
    <t>Blank</t>
  </si>
  <si>
    <t>NR</t>
  </si>
  <si>
    <t>ALE</t>
  </si>
  <si>
    <t>B++</t>
  </si>
  <si>
    <t>AVA</t>
  </si>
  <si>
    <t>B+</t>
  </si>
  <si>
    <t>BKH</t>
  </si>
  <si>
    <t>FTS</t>
  </si>
  <si>
    <t>HE</t>
  </si>
  <si>
    <t>C+</t>
  </si>
  <si>
    <t>B-</t>
  </si>
  <si>
    <t>B1</t>
  </si>
  <si>
    <t>IDA</t>
  </si>
  <si>
    <t>MGEE</t>
  </si>
  <si>
    <t>NWE</t>
  </si>
  <si>
    <t>OGE</t>
  </si>
  <si>
    <t>OTTR</t>
  </si>
  <si>
    <t>BB</t>
  </si>
  <si>
    <t>Ba1</t>
  </si>
  <si>
    <t>POR</t>
  </si>
  <si>
    <t>Intentionally blank.</t>
  </si>
  <si>
    <t>Size Premium</t>
  </si>
  <si>
    <t>Decile</t>
  </si>
  <si>
    <t>Breakdown of CRSP Deciles 1 - 10</t>
  </si>
  <si>
    <t>Breakdown of CRSP 10th Decile</t>
  </si>
  <si>
    <t>10A</t>
  </si>
  <si>
    <t>10B</t>
  </si>
  <si>
    <t>KEY TO RATING CODES</t>
  </si>
  <si>
    <t>VL Fin Strength</t>
  </si>
  <si>
    <t>Fitch</t>
  </si>
  <si>
    <t>Code</t>
  </si>
  <si>
    <t>Aa1</t>
  </si>
  <si>
    <t>B</t>
  </si>
  <si>
    <t>C++</t>
  </si>
  <si>
    <t>BB+</t>
  </si>
  <si>
    <t>Ba2</t>
  </si>
  <si>
    <t>BB-</t>
  </si>
  <si>
    <t>Ba3</t>
  </si>
  <si>
    <t>B2</t>
  </si>
  <si>
    <t>B3</t>
  </si>
  <si>
    <t>CCC+</t>
  </si>
  <si>
    <t>Caa1</t>
  </si>
  <si>
    <t>CCC</t>
  </si>
  <si>
    <t>Caa2</t>
  </si>
  <si>
    <t>CCC-</t>
  </si>
  <si>
    <t>Caa3</t>
  </si>
  <si>
    <t>CC</t>
  </si>
  <si>
    <t xml:space="preserve">  --</t>
  </si>
  <si>
    <t>Apollo Global Management Inc</t>
  </si>
  <si>
    <t>APO</t>
  </si>
  <si>
    <t>Booking Holdings Inc</t>
  </si>
  <si>
    <t>BKNG</t>
  </si>
  <si>
    <t>BlackRock Inc</t>
  </si>
  <si>
    <t>BXP Inc</t>
  </si>
  <si>
    <t>Capital One Financial Corp</t>
  </si>
  <si>
    <t>Campbell's Co (The)</t>
  </si>
  <si>
    <t>SALESFORCE INC</t>
  </si>
  <si>
    <t>CRM</t>
  </si>
  <si>
    <t>Dell Technologies Inc</t>
  </si>
  <si>
    <t>DELL</t>
  </si>
  <si>
    <t>DOC</t>
  </si>
  <si>
    <t>Erie Indemnity Co</t>
  </si>
  <si>
    <t>ERIE</t>
  </si>
  <si>
    <t>GE Aerospace</t>
  </si>
  <si>
    <t>GE Vernova Inc</t>
  </si>
  <si>
    <t>GEV</t>
  </si>
  <si>
    <t>Alphabet Inc</t>
  </si>
  <si>
    <t>GOOG</t>
  </si>
  <si>
    <t>Global Payments Inc</t>
  </si>
  <si>
    <t>Hartford Insurance Group Inc (The)</t>
  </si>
  <si>
    <t>Hubbell Inc</t>
  </si>
  <si>
    <t>HUBB</t>
  </si>
  <si>
    <t>Invitation Homes Inc</t>
  </si>
  <si>
    <t>INVH</t>
  </si>
  <si>
    <t>International Paper Company</t>
  </si>
  <si>
    <t>KKR &amp; Co Inc</t>
  </si>
  <si>
    <t>KKR</t>
  </si>
  <si>
    <t>Labcorp Holdings Inc</t>
  </si>
  <si>
    <t>Lennox International Inc.</t>
  </si>
  <si>
    <t>LII</t>
  </si>
  <si>
    <t>MetLife Inc</t>
  </si>
  <si>
    <t>Meta Platforms Inc</t>
  </si>
  <si>
    <t>META</t>
  </si>
  <si>
    <t>Martin Marietta Materials Inc</t>
  </si>
  <si>
    <t>Match Group Inc</t>
  </si>
  <si>
    <t>MTCH</t>
  </si>
  <si>
    <t>Realty Income Corp</t>
  </si>
  <si>
    <t>Royal Caribbean Group</t>
  </si>
  <si>
    <t>RCL</t>
  </si>
  <si>
    <t>Regeneron Pharmaceuticals Inc</t>
  </si>
  <si>
    <t>REGN</t>
  </si>
  <si>
    <t>Simon Property Group Inc</t>
  </si>
  <si>
    <t>Smurfit Westrock Plc</t>
  </si>
  <si>
    <t>SW</t>
  </si>
  <si>
    <t>TE Connectivity plc</t>
  </si>
  <si>
    <t>Texas Pacific Land Corp</t>
  </si>
  <si>
    <t>TPL</t>
  </si>
  <si>
    <t>Veralto Corp</t>
  </si>
  <si>
    <t>VLTO</t>
  </si>
  <si>
    <t>Verisk Analytics Inc</t>
  </si>
  <si>
    <t>Vistra Corp</t>
  </si>
  <si>
    <t>VST</t>
  </si>
  <si>
    <t>Williams-Sonoma Inc</t>
  </si>
  <si>
    <t>WSM</t>
  </si>
  <si>
    <t>YUM Brands Inc</t>
  </si>
  <si>
    <t>NorthWestern Energy Grp.</t>
  </si>
  <si>
    <t>TXNM</t>
  </si>
  <si>
    <t>TXNM Energy</t>
  </si>
  <si>
    <r>
      <t>EPS</t>
    </r>
    <r>
      <rPr>
        <b/>
        <i/>
        <sz val="11"/>
        <rFont val="Times New Roman"/>
        <family val="1"/>
      </rPr>
      <t xml:space="preserve"> g</t>
    </r>
  </si>
  <si>
    <t>AbbVie Inc.</t>
  </si>
  <si>
    <t>AptarGroup</t>
  </si>
  <si>
    <t>ATR</t>
  </si>
  <si>
    <t>CME Group</t>
  </si>
  <si>
    <t>Electronic Arts</t>
  </si>
  <si>
    <t>Int'l Business Mach.</t>
  </si>
  <si>
    <t>Verizon Communic.</t>
  </si>
  <si>
    <t xml:space="preserve">Being taken private by Global Infrastructure Partners and CPP Investments, deal to close mid-2025.  Set to go private as of March 2025 VL.  </t>
  </si>
  <si>
    <t>Packaging &amp; Container</t>
  </si>
  <si>
    <t>Entertainment Tech</t>
  </si>
  <si>
    <t>Telecom. Services</t>
  </si>
  <si>
    <t>At Year-end 2024 ($millions)</t>
  </si>
  <si>
    <t>At Year-end 2024 (a)</t>
  </si>
  <si>
    <t>FERC Form 1 (YE2024)</t>
  </si>
  <si>
    <t>BLACK HILLS CORP.</t>
  </si>
  <si>
    <t>Black Hills Power (South Dakota Elec.)</t>
  </si>
  <si>
    <t>Cheyenne Light Fuel &amp; Power (Wyo Elec.)</t>
  </si>
  <si>
    <t>Black Hills/Colorado Electric Utility Co</t>
  </si>
  <si>
    <t>DOMINION ENERGY</t>
  </si>
  <si>
    <t>Virginia Electric &amp; Power</t>
  </si>
  <si>
    <t>Dominion Energy South Carolina</t>
  </si>
  <si>
    <t>NORTHWESTERN ENERGY GROUP</t>
  </si>
  <si>
    <t>OTTER TAIL CORP.</t>
  </si>
  <si>
    <t>Otter Tail Power Co.</t>
  </si>
  <si>
    <t>PINNACLE WEST CAPITAL</t>
  </si>
  <si>
    <t>Arizona Public Service Co.</t>
  </si>
  <si>
    <t>Kentucky Utilities Co.</t>
  </si>
  <si>
    <t>Count</t>
  </si>
  <si>
    <t>AMERICAN ELECTRIC POWER</t>
  </si>
  <si>
    <t>Appalachian Pwr. Co./Wheeling Pwr.</t>
  </si>
  <si>
    <t>Colorado Electric</t>
  </si>
  <si>
    <t>South Dakota Electric</t>
  </si>
  <si>
    <t>Wyoming Electric</t>
  </si>
  <si>
    <t>Virginia Electric &amp; Power Co.</t>
  </si>
  <si>
    <t>AZ</t>
  </si>
  <si>
    <t>NORTHWESTERN ENERGY GRP.</t>
  </si>
  <si>
    <t>NorthWestern Energy</t>
  </si>
  <si>
    <t>MT</t>
  </si>
  <si>
    <t>Otter Tail Power Corp.</t>
  </si>
  <si>
    <t>Portland General Electric Co.</t>
  </si>
  <si>
    <t>PUB SV ENTERPRISE GRP.</t>
  </si>
  <si>
    <t>From 2024 SEC Form 10-K Reports and Investor Presentations (as provided on each company's website under Investor Relations).</t>
  </si>
  <si>
    <t>Type of Cost Recovery Mechanism (a)</t>
  </si>
  <si>
    <t>Other Regulatory Mechanisms (a)</t>
  </si>
  <si>
    <t>Energy</t>
  </si>
  <si>
    <t>Decoupling/</t>
  </si>
  <si>
    <t>Earn Sharing/</t>
  </si>
  <si>
    <t>Fuel/</t>
  </si>
  <si>
    <t>Bad</t>
  </si>
  <si>
    <t>Environ-</t>
  </si>
  <si>
    <t>Efficiency/</t>
  </si>
  <si>
    <t>Other (b)</t>
  </si>
  <si>
    <t>Gener-</t>
  </si>
  <si>
    <t>Distri-</t>
  </si>
  <si>
    <t>Trans-</t>
  </si>
  <si>
    <t>Multi-Yr Plans/</t>
  </si>
  <si>
    <t>Perf-Based</t>
  </si>
  <si>
    <t>Pension</t>
  </si>
  <si>
    <t>mental</t>
  </si>
  <si>
    <t>Conservation</t>
  </si>
  <si>
    <t>ation</t>
  </si>
  <si>
    <t>bution</t>
  </si>
  <si>
    <t>mission</t>
  </si>
  <si>
    <t>Formula Rates</t>
  </si>
  <si>
    <t>Rates</t>
  </si>
  <si>
    <t>Purch</t>
  </si>
  <si>
    <t>Power</t>
  </si>
  <si>
    <t>Renew-</t>
  </si>
  <si>
    <t>ables</t>
  </si>
  <si>
    <t>NOTE (b) - OTHER RECOVERY MECHANISMS</t>
  </si>
  <si>
    <t>Description</t>
  </si>
  <si>
    <t>Tax benefit rider</t>
  </si>
  <si>
    <t>Ad valorem tax</t>
  </si>
  <si>
    <t>Vegetation management</t>
  </si>
  <si>
    <t>Decommissioning rider</t>
  </si>
  <si>
    <t>EV program, energy assistance benefit charge</t>
  </si>
  <si>
    <t>Decommissioning cost</t>
  </si>
  <si>
    <t>Relicensing/decommissioning</t>
  </si>
  <si>
    <t>Coastal Virginia Offshore Wind project, relicensing/decommissioning</t>
  </si>
  <si>
    <t>Storm damage</t>
  </si>
  <si>
    <t>Resilience plan, tax adjustment mechanism</t>
  </si>
  <si>
    <t>Storm damage, ad valorem tax, vegetation</t>
  </si>
  <si>
    <t>Rate case expenses, advanced metering system</t>
  </si>
  <si>
    <t>System benefits</t>
  </si>
  <si>
    <t>Low income customer discounts, vegetation management, storm restoration, advanced metering infrastructure, EV infrastructure</t>
  </si>
  <si>
    <t>System benefits, vegetation management, ad valorem tax, storm costs, pole plant adjustment mechanism</t>
  </si>
  <si>
    <t>Accumulated Deferred ITC annual utilization</t>
  </si>
  <si>
    <t>Advanced metering initiative</t>
  </si>
  <si>
    <t>Tax expense adjustor, Four Corners Court Resolution Surcharge (federally mandated emissions controls)</t>
  </si>
  <si>
    <t>Storm costs, electric vehicle program</t>
  </si>
  <si>
    <t>Insurance premiums, wildfire mitigation, advanced metering initiative</t>
  </si>
  <si>
    <t>American Electric Power</t>
  </si>
  <si>
    <t xml:space="preserve">From 2024 SEC Form 10-K Reports and Investor Presentations (as provided on each company's website under Investor Relations).  Data from S&amp;P Global Market Intelligence, RRA State Regulatory Evaluations Quarterly Update (Dec. 2024) also used to supplement the Future Test Year findings. </t>
  </si>
  <si>
    <r>
      <t xml:space="preserve">S&amp;P Global Market Intelligence, </t>
    </r>
    <r>
      <rPr>
        <i/>
        <sz val="10"/>
        <rFont val="Times New Roman"/>
        <family val="1"/>
      </rPr>
      <t>Major Rate Case Decisions</t>
    </r>
    <r>
      <rPr>
        <sz val="10"/>
        <rFont val="Times New Roman"/>
        <family val="1"/>
      </rPr>
      <t xml:space="preserve">, RRA Regulatory Focus; </t>
    </r>
    <r>
      <rPr>
        <i/>
        <sz val="10"/>
        <rFont val="Times New Roman"/>
        <family val="1"/>
      </rPr>
      <t>UtilityScope Regulatory Service</t>
    </r>
    <r>
      <rPr>
        <sz val="10"/>
        <rFont val="Times New Roman"/>
        <family val="1"/>
      </rPr>
      <t>, Argus.  Data for "general" rate cases (excluding limited-issue rider cases) beginning in 2006 (the first year such data presented by RRA).</t>
    </r>
  </si>
  <si>
    <r>
      <t>Market Return (R</t>
    </r>
    <r>
      <rPr>
        <b/>
        <vertAlign val="subscript"/>
        <sz val="12"/>
        <rFont val="Times New Roman"/>
        <family val="1"/>
      </rPr>
      <t>m</t>
    </r>
    <r>
      <rPr>
        <b/>
        <sz val="12"/>
        <rFont val="Times New Roman"/>
        <family val="1"/>
      </rPr>
      <t>)</t>
    </r>
  </si>
  <si>
    <r>
      <t>R</t>
    </r>
    <r>
      <rPr>
        <b/>
        <vertAlign val="subscript"/>
        <sz val="12"/>
        <rFont val="Times New Roman"/>
        <family val="1"/>
      </rPr>
      <t>(m)</t>
    </r>
  </si>
  <si>
    <r>
      <t xml:space="preserve">Data from S&amp;P Global Market Intelligence, </t>
    </r>
    <r>
      <rPr>
        <i/>
        <sz val="10"/>
        <rFont val="Times New Roman"/>
        <family val="1"/>
      </rPr>
      <t>RRA State Regulatory Evaluations Quarterly Update</t>
    </r>
    <r>
      <rPr>
        <sz val="10"/>
        <rFont val="Times New Roman"/>
        <family val="1"/>
      </rPr>
      <t xml:space="preserve"> (Dec. 2024) also used to supplement the Future Test Year findings. </t>
    </r>
  </si>
  <si>
    <t>Average of closing prices for 30 trading days ended May 19, 2025.</t>
  </si>
  <si>
    <t>The Value Line Investment Survey (Mar. 7, Apr. 18, and May 9, 2025).</t>
  </si>
  <si>
    <r>
      <t xml:space="preserve">The Value Line Investment Survey, </t>
    </r>
    <r>
      <rPr>
        <i/>
        <sz val="10"/>
        <rFont val="Times New Roman"/>
        <family val="1"/>
      </rPr>
      <t>Summary &amp; Index</t>
    </r>
    <r>
      <rPr>
        <sz val="10"/>
        <rFont val="Times New Roman"/>
        <family val="1"/>
      </rPr>
      <t xml:space="preserve"> (May 23, 2025).</t>
    </r>
  </si>
  <si>
    <t>www.zacks.com (retrieved May 20, 2025).</t>
  </si>
  <si>
    <t>Automatic Data Proc.</t>
  </si>
  <si>
    <t>Gen'l Dynamics</t>
  </si>
  <si>
    <t>Gen'l Mills</t>
  </si>
  <si>
    <t>T-Mobile US</t>
  </si>
  <si>
    <t>Human Resources</t>
  </si>
  <si>
    <t>www.valueline.com (retrieved May 20, 2025).</t>
  </si>
  <si>
    <t>www.spglobal.com (retrieved May 20, 2025).</t>
  </si>
  <si>
    <t>www.moodys.com (retrieved May 20, 2025).</t>
  </si>
  <si>
    <r>
      <t xml:space="preserve">The Value Line Investment Survey, </t>
    </r>
    <r>
      <rPr>
        <i/>
        <sz val="10"/>
        <rFont val="Times New Roman"/>
        <family val="1"/>
      </rPr>
      <t xml:space="preserve">Summary &amp; Index </t>
    </r>
    <r>
      <rPr>
        <sz val="10"/>
        <rFont val="Times New Roman"/>
        <family val="1"/>
      </rPr>
      <t>(May 23, 2025).</t>
    </r>
  </si>
  <si>
    <t>Average of closing prices for 30 trading days ended May 20, 2025.</t>
  </si>
  <si>
    <r>
      <t>The Value Line Investment Survey,</t>
    </r>
    <r>
      <rPr>
        <i/>
        <sz val="10"/>
        <rFont val="Times New Roman"/>
        <family val="1"/>
      </rPr>
      <t xml:space="preserve"> Summary &amp; Index</t>
    </r>
    <r>
      <rPr>
        <sz val="10"/>
        <rFont val="Times New Roman"/>
        <family val="1"/>
      </rPr>
      <t xml:space="preserve"> (May 23, 2025).</t>
    </r>
  </si>
  <si>
    <t>IBES growth rates from LSEG, as provided by www.fidelity.com (retreived May 20, 2025).</t>
  </si>
  <si>
    <t>Being acquired by Blackstone Infrastructure</t>
  </si>
  <si>
    <t>Kentucky Power</t>
  </si>
  <si>
    <t>Cost of</t>
  </si>
  <si>
    <t>Unadjusted RP</t>
  </si>
  <si>
    <t>Beta Adjusted RP</t>
  </si>
  <si>
    <t>ECAPM</t>
  </si>
  <si>
    <r>
      <t>RP</t>
    </r>
    <r>
      <rPr>
        <b/>
        <i/>
        <vertAlign val="superscript"/>
        <sz val="12"/>
        <rFont val="Times New Roman"/>
        <family val="1"/>
      </rPr>
      <t>1</t>
    </r>
  </si>
  <si>
    <r>
      <t>RP</t>
    </r>
    <r>
      <rPr>
        <b/>
        <i/>
        <vertAlign val="superscript"/>
        <sz val="12"/>
        <rFont val="Times New Roman"/>
        <family val="1"/>
      </rPr>
      <t>2</t>
    </r>
  </si>
  <si>
    <t>Total RP</t>
  </si>
  <si>
    <t>Midpoint (h)</t>
  </si>
  <si>
    <t>3 (1)</t>
  </si>
  <si>
    <t>3 (2-4)</t>
  </si>
  <si>
    <t>3 (5-6)</t>
  </si>
  <si>
    <t>4 (3)</t>
  </si>
  <si>
    <t>EXPECTED EARNINGS</t>
  </si>
  <si>
    <t>Exhibit AMM-2</t>
  </si>
  <si>
    <t>Exhibit AMM-3</t>
  </si>
  <si>
    <t>Exhibit AMM-4</t>
  </si>
  <si>
    <t>Exhibit AMM-5</t>
  </si>
  <si>
    <t>Exhibit AMM-6</t>
  </si>
  <si>
    <t>Exhibit AMM-7</t>
  </si>
  <si>
    <t>Exhibit AMM-8</t>
  </si>
  <si>
    <t>Exhibit AMM-9</t>
  </si>
  <si>
    <t>Exhibit AMM-10</t>
  </si>
  <si>
    <t>Exhibit AMM-11</t>
  </si>
  <si>
    <t>Expected Earnings</t>
  </si>
  <si>
    <t>CRSP Deciles Size Study - Data as of 12/31/2024</t>
  </si>
  <si>
    <t>Companies Ranked by</t>
  </si>
  <si>
    <t>Market Value of Common Equity</t>
  </si>
  <si>
    <t>Low End Breakpoint ($M)</t>
  </si>
  <si>
    <t>High End Breakpoint ($M)</t>
  </si>
  <si>
    <t>Mid Cap (3–5)</t>
  </si>
  <si>
    <t>Low Cap (6–8)</t>
  </si>
  <si>
    <t>Micro Cap (9–10)</t>
  </si>
  <si>
    <t>10w</t>
  </si>
  <si>
    <t>10x</t>
  </si>
  <si>
    <t>10y</t>
  </si>
  <si>
    <t>10z</t>
  </si>
  <si>
    <t/>
  </si>
  <si>
    <t>KROLL</t>
  </si>
  <si>
    <r>
      <t xml:space="preserve">Kroll, </t>
    </r>
    <r>
      <rPr>
        <i/>
        <sz val="10"/>
        <rFont val="Times New Roman"/>
        <family val="1"/>
      </rPr>
      <t>2024 CRSP Deciles Size Premium</t>
    </r>
    <r>
      <rPr>
        <sz val="10"/>
        <rFont val="Times New Roman"/>
        <family val="1"/>
      </rPr>
      <t>, Cost of Capital Navigator (2025).</t>
    </r>
  </si>
  <si>
    <t>Broadridge Financial Solutions Inc</t>
  </si>
  <si>
    <t>BR</t>
  </si>
  <si>
    <t>Cardinal Health Inc</t>
  </si>
  <si>
    <t>CAH</t>
  </si>
  <si>
    <t>Delta Air Lines Inc</t>
  </si>
  <si>
    <t>DAL</t>
  </si>
  <si>
    <t>Expedia Group Inc</t>
  </si>
  <si>
    <t>EXPE</t>
  </si>
  <si>
    <t>Fox Corp</t>
  </si>
  <si>
    <t>FOXA</t>
  </si>
  <si>
    <t>Data for dividend paying components of S&amp;P 500 index from fidelity.com (retrieved May 8, 2025).</t>
  </si>
  <si>
    <t>www.valueline.com (retrieved May 8, 2025).</t>
  </si>
  <si>
    <t>LSEG, as provided by fidelity.com (retrieved May 8, 2025)</t>
  </si>
  <si>
    <t>www.zacks.com (retrieved May 8, 2025)</t>
  </si>
  <si>
    <t>2025Q1</t>
  </si>
  <si>
    <t>2025Q2</t>
  </si>
  <si>
    <t>2025Q3</t>
  </si>
  <si>
    <t>2025Q4</t>
  </si>
  <si>
    <t>30-Yr.</t>
  </si>
  <si>
    <t>10-Yr.</t>
  </si>
  <si>
    <t xml:space="preserve">Aa </t>
  </si>
  <si>
    <t>Treas.</t>
  </si>
  <si>
    <t>Dec. 2021</t>
  </si>
  <si>
    <t>Jan. 2024</t>
  </si>
  <si>
    <t>Dec. 2024</t>
  </si>
  <si>
    <t>S&amp;P rating meets criteria.</t>
  </si>
  <si>
    <t>Median</t>
  </si>
  <si>
    <r>
      <t xml:space="preserve">Moody's Investors Service; https://fred.stlouisfed.org/; Wolters Kluwer, </t>
    </r>
    <r>
      <rPr>
        <i/>
        <sz val="10"/>
        <rFont val="Times New Roman"/>
        <family val="1"/>
      </rPr>
      <t xml:space="preserve">Blue Chip Financial Forecasts </t>
    </r>
    <r>
      <rPr>
        <sz val="10"/>
        <rFont val="Times New Roman"/>
        <family val="1"/>
      </rPr>
      <t>(Jun. 2, 2025)</t>
    </r>
  </si>
  <si>
    <t>LSEG Stock Reports Plus, as provided by fidelity.com (retrieved May 20, 2025).</t>
  </si>
  <si>
    <t>Prime Loan Rate</t>
  </si>
  <si>
    <t>Federal Funds Rate</t>
  </si>
  <si>
    <t>Source: https://fred.stlouisfed.org; Moody's Credit Trends.</t>
  </si>
  <si>
    <t>Federal</t>
  </si>
  <si>
    <t>Funds</t>
  </si>
  <si>
    <t>10-yr</t>
  </si>
  <si>
    <t>30-yr</t>
  </si>
  <si>
    <t>Lower</t>
  </si>
  <si>
    <t>Upper</t>
  </si>
  <si>
    <t>Prime</t>
  </si>
  <si>
    <t>Purch Power</t>
  </si>
  <si>
    <t>Renewables</t>
  </si>
  <si>
    <t>AVISTA CORP.</t>
  </si>
  <si>
    <t>Alaska Electric Light &amp; Power Co.</t>
  </si>
  <si>
    <t>AK</t>
  </si>
  <si>
    <t>WA</t>
  </si>
  <si>
    <t>CENTERPOINT ENERGY</t>
  </si>
  <si>
    <t>Southern Indiana Gas &amp; Electric Co.</t>
  </si>
  <si>
    <t>CenterPoint Energy Houston Electric</t>
  </si>
  <si>
    <t>EDISON INTERNATIONAL</t>
  </si>
  <si>
    <t>Southern California Edison Co.</t>
  </si>
  <si>
    <t>FIRSTENERGY CORP.</t>
  </si>
  <si>
    <t>Potomac Edison Co.</t>
  </si>
  <si>
    <t>Jersey Central Power &amp; Light Co.</t>
  </si>
  <si>
    <t>Cleveland Elec./Ohio Ed./Toledo Ed.</t>
  </si>
  <si>
    <t>FE PA</t>
  </si>
  <si>
    <t>Monongahela Power Co.</t>
  </si>
  <si>
    <t>Wildfire resiliency, insurance</t>
  </si>
  <si>
    <t>CenterPoint Energy Houston Electric LLC</t>
  </si>
  <si>
    <t>Temporary emergency electric energy facilities, system restoration cost</t>
  </si>
  <si>
    <t>Inflationary price increases, nuclear decommissioning, wildfire related costs, public purpose programs, wildfire liability insurance</t>
  </si>
  <si>
    <t>Smart meters</t>
  </si>
  <si>
    <t>Storm costs, Tax Act, smart meters, vegetation, management</t>
  </si>
  <si>
    <t>Vegetation management, storm costs</t>
  </si>
  <si>
    <t>Alaska Electric Light &amp; Power</t>
  </si>
  <si>
    <t>Centerpoint Energy Houston Electric</t>
  </si>
  <si>
    <t>Cleve. Elec. Illum./Ohio Ed./Toledo Ed.</t>
  </si>
  <si>
    <t>The Potomac Edison Co.</t>
  </si>
  <si>
    <t>NorthWestern Corp.</t>
  </si>
  <si>
    <t>NorthWestern Energy Public Svc Corp.</t>
  </si>
  <si>
    <t xml:space="preserve">  Data from most recent SEC Form 10-K Reports and FERC Form 1 Reports.</t>
  </si>
  <si>
    <t>4 (1-2)</t>
  </si>
  <si>
    <t>5 (1)</t>
  </si>
  <si>
    <t>5 (2)</t>
  </si>
  <si>
    <t>5 (3)</t>
  </si>
  <si>
    <t>9 (1)</t>
  </si>
  <si>
    <t>9 (2)</t>
  </si>
  <si>
    <t>9 (3)</t>
  </si>
  <si>
    <t>Average of High and Low expected market prices divided by 2029 BVPS.</t>
  </si>
  <si>
    <t>Product of average year-end "r" for 2029 and Adjustment Factor.</t>
  </si>
  <si>
    <t>Electric</t>
  </si>
  <si>
    <t>Q2-23</t>
  </si>
  <si>
    <t>Q3-23</t>
  </si>
  <si>
    <t>Q4-23</t>
  </si>
  <si>
    <t>Q1-24</t>
  </si>
  <si>
    <t>Q2-24</t>
  </si>
  <si>
    <t>Q3-24</t>
  </si>
  <si>
    <t>Q4-24</t>
  </si>
  <si>
    <t>Q1-25</t>
  </si>
  <si>
    <t>Source: S&amp;P Global Market Intelligence, Major Rate Case Decisions, RRA Regulatory Focus (Apr. 25, 2025, Feb. 4, 2025, Feb. 6, 2024).  Excludes Limited Issuer Riders and capital structures that include cost-free items.</t>
  </si>
  <si>
    <t>Table 5: Electric and gas utility decisions</t>
  </si>
  <si>
    <t xml:space="preserve">Electric utility decisions </t>
  </si>
  <si>
    <t>ROR (%)</t>
  </si>
  <si>
    <t>ROE (%)</t>
  </si>
  <si>
    <t xml:space="preserve">Common equity as  percent of capital </t>
  </si>
  <si>
    <t>Test year ended</t>
  </si>
  <si>
    <t>Rate base valuation method</t>
  </si>
  <si>
    <t>Rate change 
amount ($M)</t>
  </si>
  <si>
    <t>Footnotes</t>
  </si>
  <si>
    <t>Virginia Electric and Power Co.</t>
  </si>
  <si>
    <t>Year-end</t>
  </si>
  <si>
    <t>NA</t>
  </si>
  <si>
    <t>B, I</t>
  </si>
  <si>
    <t>Puget Sound Energy Inc.</t>
  </si>
  <si>
    <t>Z</t>
  </si>
  <si>
    <t>Bear Valley Electric Service Inc.</t>
  </si>
  <si>
    <t>AWR</t>
  </si>
  <si>
    <t>B, Z</t>
  </si>
  <si>
    <t>*</t>
  </si>
  <si>
    <t>PacifiCorp</t>
  </si>
  <si>
    <t>BRK.A</t>
  </si>
  <si>
    <t>B, Z, I</t>
  </si>
  <si>
    <t>Southern Indiana Gas and Electric Co.</t>
  </si>
  <si>
    <t>LIR, Z, 1</t>
  </si>
  <si>
    <t>Florida Public Utilities Co.</t>
  </si>
  <si>
    <t>CPK</t>
  </si>
  <si>
    <t>I</t>
  </si>
  <si>
    <t>LIR, 2</t>
  </si>
  <si>
    <t>Black Hills Colorado Electric Inc.</t>
  </si>
  <si>
    <t>B, D</t>
  </si>
  <si>
    <t>Versant Power</t>
  </si>
  <si>
    <t>ME</t>
  </si>
  <si>
    <t>Orange and Rockland Utilities Inc.</t>
  </si>
  <si>
    <t>B, D, Z</t>
  </si>
  <si>
    <t>Liberty Utilities (Granite State Electric) Corp.</t>
  </si>
  <si>
    <t>AQN</t>
  </si>
  <si>
    <t>D, Z, I</t>
  </si>
  <si>
    <t>Northern Indiana Public Service Co. LLC</t>
  </si>
  <si>
    <t>LIR, 3</t>
  </si>
  <si>
    <t>LIR, 4</t>
  </si>
  <si>
    <t>Q1 averages, total rate change amount</t>
  </si>
  <si>
    <t xml:space="preserve">Gas utility decisions </t>
  </si>
  <si>
    <t xml:space="preserve">Common equity as percent of capital </t>
  </si>
  <si>
    <t>Test year</t>
  </si>
  <si>
    <t>Piedmont Natural Gas Co. Inc.</t>
  </si>
  <si>
    <t>Indiana Gas Co. Inc.</t>
  </si>
  <si>
    <t>Northern States Power Co.</t>
  </si>
  <si>
    <t>Cascade Natural Gas Corp.</t>
  </si>
  <si>
    <t>MDU</t>
  </si>
  <si>
    <t>Atmos Energy Corp.</t>
  </si>
  <si>
    <t>LIR, 5</t>
  </si>
  <si>
    <t>Southwest Gas Corp.</t>
  </si>
  <si>
    <t>SWX</t>
  </si>
  <si>
    <t>Data compiled April 22, 2025.</t>
  </si>
  <si>
    <t>NA = not available; ROE = return on equity; ROR = rate of return.</t>
  </si>
  <si>
    <t>Source: Regulatory Research Associates, a group within S&amp;P Global Commodity Insights.</t>
  </si>
  <si>
    <t>© 2025 S&amp;P Global.</t>
  </si>
  <si>
    <t>Average.</t>
  </si>
  <si>
    <t>Order followed stipulation or settlement by the parties. Decision particulars not necessarily precedent-setting or specifically adopted by the regulatory body.</t>
  </si>
  <si>
    <t>Applies to electric delivery only.</t>
  </si>
  <si>
    <t>Interim rates implemented prior to the issuance of final order, normally under bond and subject to refund.</t>
  </si>
  <si>
    <t>LIR</t>
  </si>
  <si>
    <t>Limited-issue rider proceeding.</t>
  </si>
  <si>
    <t>Transmission-only case.</t>
  </si>
  <si>
    <t>W</t>
  </si>
  <si>
    <t>Case was withdrawn.</t>
  </si>
  <si>
    <t>Rate change implemented in multiple steps.</t>
  </si>
  <si>
    <t>Capital structure includes cost-free items or tax credit balances at the overall rate of return.</t>
  </si>
  <si>
    <t>Rate change approved under Rider GEN, which is a new consolidated generation rider reflecting the company's investment in several generation assets.</t>
  </si>
  <si>
    <t>Rate change authorized under expanded net energy cost proceeding.</t>
  </si>
  <si>
    <t>Rate change under the company's transmission, distribution and storage system improvement charge statute.</t>
  </si>
  <si>
    <t>Rate change approved under Rider RBB, which pertains to the company's rural broadband pilot program.</t>
  </si>
  <si>
    <t>Rate change under the company's system integrity program rider.</t>
  </si>
  <si>
    <t xml:space="preserve">Common equity as % of capital </t>
  </si>
  <si>
    <t>Public Service Co. of New Mexico</t>
  </si>
  <si>
    <t>PNM</t>
  </si>
  <si>
    <t>NorthWestern Energy Group Inc.</t>
  </si>
  <si>
    <t>UNS Electric Inc.</t>
  </si>
  <si>
    <t>Oklahoma Gas and Electric Co.</t>
  </si>
  <si>
    <t>B, *</t>
  </si>
  <si>
    <t>AES Indiana</t>
  </si>
  <si>
    <t>B, D, I</t>
  </si>
  <si>
    <t>Cleco Power LLC</t>
  </si>
  <si>
    <t>Fitchburg Gas and Electric Light Co. Inc.</t>
  </si>
  <si>
    <t>UTL</t>
  </si>
  <si>
    <t>D, Z</t>
  </si>
  <si>
    <t>Q2 averages, total rate change amount</t>
  </si>
  <si>
    <t>Central Hudson Gas &amp; Electric Corp.</t>
  </si>
  <si>
    <t>Dominion Energy South Carolina Inc.</t>
  </si>
  <si>
    <t>MDU Resources Group Inc.</t>
  </si>
  <si>
    <t>Green Mountain Power Corp.</t>
  </si>
  <si>
    <t>VT</t>
  </si>
  <si>
    <t>Interstate Power and Light Co.</t>
  </si>
  <si>
    <t>Sierra Pacific Power Co.</t>
  </si>
  <si>
    <t>NV</t>
  </si>
  <si>
    <t>Upper Peninsula Power Co.</t>
  </si>
  <si>
    <t>Massachusetts Electric Co.</t>
  </si>
  <si>
    <t>NG.</t>
  </si>
  <si>
    <t>Q3 averages, total rate change amount</t>
  </si>
  <si>
    <t>Public Service Electric and Gas Co.</t>
  </si>
  <si>
    <t>Upper Michigan Energy Resources Corp.</t>
  </si>
  <si>
    <t>Pacific Gas and Electric Co.</t>
  </si>
  <si>
    <t>Minnesota Power Enterprises Inc.</t>
  </si>
  <si>
    <t>Duquesne Light Co.</t>
  </si>
  <si>
    <t>Metropolitan Edison Co.</t>
  </si>
  <si>
    <t>Pennsylvania Electric Co.</t>
  </si>
  <si>
    <t>Pennsylvania Power Co.</t>
  </si>
  <si>
    <t>West Penn Power Co.</t>
  </si>
  <si>
    <t>Tampa Electric Co.</t>
  </si>
  <si>
    <t>EMA</t>
  </si>
  <si>
    <t>B, 21, *</t>
  </si>
  <si>
    <t>D, 22</t>
  </si>
  <si>
    <t>Q4 averages, total rate change amount</t>
  </si>
  <si>
    <t>2024</t>
  </si>
  <si>
    <t>Annual averages, total rate change amount</t>
  </si>
  <si>
    <t>Black Hills Wyoming Gas LLC</t>
  </si>
  <si>
    <t>Texas Gas Service Co. Inc.</t>
  </si>
  <si>
    <t>OGS</t>
  </si>
  <si>
    <t>Black Hills Colorado Gas Inc.</t>
  </si>
  <si>
    <t>MidAmerican Energy Co.</t>
  </si>
  <si>
    <t>Q1 average/total</t>
  </si>
  <si>
    <t>ENSTAR Natural Gas Co.</t>
  </si>
  <si>
    <t>Southwest Gas Corp. (Northern)</t>
  </si>
  <si>
    <t>Southwest Gas Corp. (Southern)</t>
  </si>
  <si>
    <t>Northeast Ohio Natural Gas Corp.</t>
  </si>
  <si>
    <t>Date certain</t>
  </si>
  <si>
    <t>CenterPoint Energy Resources Corp.</t>
  </si>
  <si>
    <t>Q2 average/total</t>
  </si>
  <si>
    <t>New Mexico Gas Co. Inc.</t>
  </si>
  <si>
    <t>B, 28</t>
  </si>
  <si>
    <t>Chattanooga Gas Co.</t>
  </si>
  <si>
    <t>KeySpan Gas East Corp.</t>
  </si>
  <si>
    <t>The Brooklyn Union Gas Co.</t>
  </si>
  <si>
    <t>Oklahoma Natural Gas Co.</t>
  </si>
  <si>
    <t>B, 22</t>
  </si>
  <si>
    <t>Peoples Natural Gas Co. LLC</t>
  </si>
  <si>
    <t>WTRG</t>
  </si>
  <si>
    <t>Boston Gas Co.</t>
  </si>
  <si>
    <t>Chesapeake Utilities Corp.</t>
  </si>
  <si>
    <t>Michigan Gas Utilities Corp.</t>
  </si>
  <si>
    <t>Q3 averages/total</t>
  </si>
  <si>
    <t>Black Hills Energy Arkansas Inc.</t>
  </si>
  <si>
    <t>Kansas Gas Service Co. Inc.</t>
  </si>
  <si>
    <t>Southern California Gas Co.</t>
  </si>
  <si>
    <t>Northwest Natural Gas Co.</t>
  </si>
  <si>
    <t>NWN</t>
  </si>
  <si>
    <t>NSTAR Gas Co.</t>
  </si>
  <si>
    <t>Liberty Utilities (Midstates Natural Gas) Corp.</t>
  </si>
  <si>
    <t>Ohio Valley Gas Inc.</t>
  </si>
  <si>
    <t>DTE Gas Co.</t>
  </si>
  <si>
    <t>Connecticut Natural Gas Corp.</t>
  </si>
  <si>
    <t>IBE</t>
  </si>
  <si>
    <t>The Southern Connecticut Gas Co.</t>
  </si>
  <si>
    <t>Columbia Gas of Pennsylvania Inc.</t>
  </si>
  <si>
    <t>Elizabethtown Gas Co.</t>
  </si>
  <si>
    <t>New Jersey Natural Gas Co.</t>
  </si>
  <si>
    <t>NJR</t>
  </si>
  <si>
    <t>Summit Utilities Arkansas Inc.</t>
  </si>
  <si>
    <t>Black Hills Iowa Gas Utility Co. LLC</t>
  </si>
  <si>
    <t>National Fuel Gas Distribution Corp.</t>
  </si>
  <si>
    <t>NFG</t>
  </si>
  <si>
    <t>Wisconsin Gas LLC</t>
  </si>
  <si>
    <t>Columbia Gas of Kentucky Inc.</t>
  </si>
  <si>
    <t>Q4 averages/total</t>
  </si>
  <si>
    <t>Annual:Averages/total</t>
  </si>
  <si>
    <t>Data compiled Jan. 28, 2025.</t>
  </si>
  <si>
    <t>NA = not available; ROE = return on equity; ROR = return on rate base.</t>
  </si>
  <si>
    <t xml:space="preserve">Rate change authorized for company's investment and costs associated with projects to facilitate broadband access to rural areas by building out the "middle mile" portion of the network. </t>
  </si>
  <si>
    <t xml:space="preserve">Rate change approved under Rider GV, which pertains to the 1,588-MW gas-fired Greensville County project, which achieved commercial operation in December 2018. </t>
  </si>
  <si>
    <t>Rate change approved under Rider CE, which pertains to the company's investment in renewable resources and storage projects to comply with the 2020 Virginia Clean Economy Act.</t>
  </si>
  <si>
    <t>Rate change approved under Rider US-3, which is the mechanism through which the company recovers its investment in two utility-scale solar generation facilities — the 142-MW Colonial Trail West Solar Facility and the 98-MW AC Spring Grove 1 Solar Facility.</t>
  </si>
  <si>
    <t>Rate change approved under Rider US-4, which is the mechanism through which the company recovers its investment in the 100-MW utility-scale solar generation plant, known as the Sadler Solar Facility. </t>
  </si>
  <si>
    <t>Rate change approved under Rider GT, which is the mechanism through which the company recovers its investments in its Grid Transformation Plan, a 10-year plan to transform its distribution grid to meet the changing landscape of the energy industry while continuing to provide reliable service to customers.</t>
  </si>
  <si>
    <t xml:space="preserve">Rate change approved under Rider SNA, which is the mechanism through which the company recovers its costs and investments associated with license extensions for the Surry and North Anna nuclear units. </t>
  </si>
  <si>
    <t>Rate change approved under Rider U, which is the mechanism through which the company recovers its investment in projects to underground certain "at risk" distribution facilities.</t>
  </si>
  <si>
    <t>Rate change approved for company's energy conservation programs.</t>
  </si>
  <si>
    <t xml:space="preserve">Rate change approved under Rider OSW, which is the mechanism through which the company recovers its investment in the 2.6-GW Coastal Virginia Offshore Wind Project. </t>
  </si>
  <si>
    <t>Rate change approved under Rider DSM, which pertains to the company's energy conservation and demand-side management programs.</t>
  </si>
  <si>
    <t>Reflects authorization under company's multiyear alternative regulation plan.</t>
  </si>
  <si>
    <t>Excluding incentives and penalties, the commission order specified a 9.65% ROE and a 7.38% overall return. The authorized rate case parameters indicated in the above table were not quantified in the commission's Sept. 18, 2024, order, but were specified in errata compliance filings submitted by the utility on Nov. 26, 2024.</t>
  </si>
  <si>
    <t>Rate change approved under Rider E, which is the mechanism through which the company recovers costs incurred to comply with the US Environmental Protection Agency and Virginia Waste Management Board regulations related to the storage and disposal of coal combustion residuals, commonly referred to as coal ash.</t>
  </si>
  <si>
    <t xml:space="preserve">Decision authorized as part of a cost-of-capital adjustment mechanism. </t>
  </si>
  <si>
    <t>Rate change approved under Rider CCR, which is the mechanism through which the company recovers costs incurred to comply with state and environmental laws and regulations.</t>
  </si>
  <si>
    <t>Decision was the product of a legislatively mandated biennial earnings review.</t>
  </si>
  <si>
    <t>Rate change authorized under company's formula rate plan.</t>
  </si>
  <si>
    <t>Rate change authorized under performance-based regulation plan.</t>
  </si>
  <si>
    <t>Increase to recover infrastructure investment costs and labor expenses incurred in 2024 not included for collection in the company's previous general rate case.</t>
  </si>
  <si>
    <t>Rate change under the company's infrastructure system replacement surcharge.</t>
  </si>
  <si>
    <t>Framework and rate parameters authorized under the company's renewable natural gas rider. Revenue requirement to be determined in future update proceeding.</t>
  </si>
  <si>
    <t>Rate change occurred under a rider that pertains to investment made under Virginia's Steps to Advance Virginia Energy infrastructure program.</t>
  </si>
  <si>
    <t>Rate change authorized under annual review mechanism.</t>
  </si>
  <si>
    <t>Rate change authorized under company's gas system reliability surcharge rider.</t>
  </si>
  <si>
    <t>Rate change authorized under a rider mechanism related to the company's investment in a renewable natural gas facility. ROE includes a 100-basis-point incentive.</t>
  </si>
  <si>
    <t>Excluding incentives, the commission order specified a 9.50% ROE and a 7.31% overall return. The authorized rate case parameters indicated in the above table were not quantified in the commission's Sept. 18, 2024, order, but were specified in compliance filings submitted by the utility on Sept. 25, 2024, through Sept. 30, 2024.</t>
  </si>
  <si>
    <t>Rate change authorized in accordance with the approved settlement adopted in October 2020 that required the company to file its first rate base reset designed to reset all components of rate base in base distribution rates for capital additions completed in the period Jan. 1, 2018, through Dec. 31, 2023. In accordance with the settlement, the base rate increase is subject to a cap of 7% of the company's most recent calendar year revenues. Any portion in excess of the cap is to be deferred for recovery in the following year through the local distribution adjustment clause. Since the base rate reset cap has been exceeded, the company is to implement the remaining revenue requirement of $62.2 million in the following year through a base distribution rate increase on Nov. 1, 2025.</t>
  </si>
  <si>
    <t>Rate base</t>
  </si>
  <si>
    <t>—</t>
  </si>
  <si>
    <t>Cheyenne Light, Fuel and Power Co.</t>
  </si>
  <si>
    <t>Electric Transmission Texas LLC</t>
  </si>
  <si>
    <t>T, B, W</t>
  </si>
  <si>
    <t>T, B</t>
  </si>
  <si>
    <t>B,*,7</t>
  </si>
  <si>
    <t>Oncor Electric Delivery Co. LLC</t>
  </si>
  <si>
    <t>Wind Energy Transmission Texas LLC</t>
  </si>
  <si>
    <t>B, T</t>
  </si>
  <si>
    <t>Q1 averages/total</t>
  </si>
  <si>
    <t>Liberty Utilities (CalPeco Electric) LLC</t>
  </si>
  <si>
    <t>Z, I</t>
  </si>
  <si>
    <t>Central Maine Power Co.</t>
  </si>
  <si>
    <t>Q2: averages/total</t>
  </si>
  <si>
    <t>The United Illuminating Co.</t>
  </si>
  <si>
    <t>D,22</t>
  </si>
  <si>
    <t>Tucson Electric Power Co.</t>
  </si>
  <si>
    <t>Alaska Electric Light and Power Co.</t>
  </si>
  <si>
    <t>UGI Utilities Inc.</t>
  </si>
  <si>
    <t>D,25</t>
  </si>
  <si>
    <t>Q3: averages/total</t>
  </si>
  <si>
    <t>Duke Energy Kentucky, Inc.</t>
  </si>
  <si>
    <t>New York State Electric &amp; Gas Corp.</t>
  </si>
  <si>
    <t>Rochester Gas and Electric Corp.</t>
  </si>
  <si>
    <t>Madison Gas and Electric Co.</t>
  </si>
  <si>
    <t>Wisconsin Power and Light Co.</t>
  </si>
  <si>
    <t>Evergy Kansas Central, Inc.</t>
  </si>
  <si>
    <t>Evergy Metro, Inc.</t>
  </si>
  <si>
    <t>The Empire District Electric Co.</t>
  </si>
  <si>
    <t>Baltimore Gas and Electric Co.</t>
  </si>
  <si>
    <t>Nevada Power Co.</t>
  </si>
  <si>
    <t>2023</t>
  </si>
  <si>
    <t>Columbia Gas of Ohio Inc.</t>
  </si>
  <si>
    <t>Pivotal Utility Holdings Inc.</t>
  </si>
  <si>
    <t>Columbia Gas of Virginia Inc.</t>
  </si>
  <si>
    <t>Intermountain Gas Co.</t>
  </si>
  <si>
    <t>B,34</t>
  </si>
  <si>
    <t>Virginia Natural Gas Inc.</t>
  </si>
  <si>
    <t>Washington Gas Light Co.</t>
  </si>
  <si>
    <t>Northern Utilities Inc.</t>
  </si>
  <si>
    <t>B,33</t>
  </si>
  <si>
    <t>Columbia Gas of Maryland Inc.</t>
  </si>
  <si>
    <t>Minnesota Energy Resources Corp.</t>
  </si>
  <si>
    <t>Date Certain</t>
  </si>
  <si>
    <t>Questar Gas Co.</t>
  </si>
  <si>
    <t>Peoples Gas System</t>
  </si>
  <si>
    <t>North Shore Gas Co.</t>
  </si>
  <si>
    <t>Northern Illinois Gas Co.</t>
  </si>
  <si>
    <t>The Peoples Gas Light and Coke Co.</t>
  </si>
  <si>
    <t>Roanoke Gas Co.</t>
  </si>
  <si>
    <t>Mountaineer Gas Co.</t>
  </si>
  <si>
    <t>Data compiled Jan. 24, 2024.</t>
  </si>
  <si>
    <t>ROR = rate of return; ROE = return on equity; — = no observations.</t>
  </si>
  <si>
    <t>© 2024 S&amp;P Global.</t>
  </si>
  <si>
    <t>Not available at the time of publication.</t>
  </si>
  <si>
    <t>Case established the rates to be charged to customers under the company's "transmission, distribution, and storage system improvement charge" statute.</t>
  </si>
  <si>
    <t>Rate change approved under Rider B, which is the mechanism through which the company recovers the costs associated with the conversion of the Altavista, Hopewell and Southampton power stations to burn biomass fuels.</t>
  </si>
  <si>
    <t>Rate increase authorized for the recovery of expenditures related to wildfire mitigation, COVID-19-related costs and several other activities.</t>
  </si>
  <si>
    <t>Electric rate change under expanded net energy cost proceeding.</t>
  </si>
  <si>
    <t>Rate change approved under Rider W, which is the mechanism through which the company recovers its investment in the Warren County generation facility.</t>
  </si>
  <si>
    <t>Rate change approved under company's formula rate plan.</t>
  </si>
  <si>
    <t>Rate change approved under Rider US-4, which is the mechanism through which the company recovers its investment in the 100-MW utility-scale solar generation plant known as the Sadler Solar Facility. </t>
  </si>
  <si>
    <t>Rate change approved under Rider CE, which is the mechanism through which the company recovers its investment under the Clean Economy Act.</t>
  </si>
  <si>
    <t>Rate change approved under Rider R, which is the mechanism through which the company recovers its investment in the Bear Garden power plant. As required by legislation enacted in April 2023, the rider was eliminated, and the related investment is now considered part of the "legacy" generation and distribution assets covered by the company's periodic base earnings review process.</t>
  </si>
  <si>
    <t>Rate change approved under Rider S, which is the mechanism through which the company recovers its investment in the Virginia City Hybrid Energy Center. As required by legislation enacted in April 2023, the rider was eliminated, and the related investment is now considered part of the "legacy" generation and distribution assets covered by the company's periodic base earnings review process.</t>
  </si>
  <si>
    <t>Rate change approved under Rider W, which is the mechanism through which the company recovers its investment in the Warren County generation facility. As required by legislation enacted in April 2023, the rider was eliminated, and the related investment is now considered part of the "legacy" generation and distribution assets covered by the company's periodic base earnings review process.</t>
  </si>
  <si>
    <t>Rate change approved under Rider US-2, which is the mechanism through which the company recovers its investment in three utility-scale solar facilities — Scott Solar, Whitehouse Solar and Woodland Solar. </t>
  </si>
  <si>
    <t>Rate change approved under Rider SNA, which is the mechanism through which the company recovers its investment in the Surry and North Anna nuclear plants.</t>
  </si>
  <si>
    <t>Rate change approved under Rider OSW, which is the mechanism through which the company recovers its investment in the Coastal Virginia Offshore Wind Project.</t>
  </si>
  <si>
    <t>Rate change approved under Rider RGGI, which is the mechanism through which the company recovers costs incurred for participation in the Regional Greenhouse Gas Initiative.</t>
  </si>
  <si>
    <t>Rate change was approved under the company's generation rider adjustment clause, which is the mechanism through which the company recovers its investment in the Dresden Generating Plant.</t>
  </si>
  <si>
    <t>Rate change approved under Rider DSM, which is the mechanism through which the company recovers the costs of its energy conservation and demand-side management programs.</t>
  </si>
  <si>
    <t>Rate change authorized under multiyear alternative regulation plan.</t>
  </si>
  <si>
    <t>The 8.63% ROE includes the imposition of ROE penalties amounting to a 47-basis-point reduction to the proposed allowed ROE of 9.10% due to management and operational performance issues.</t>
  </si>
  <si>
    <t>Rate change approved under rider pertaining to company's plan to develop new solar, wind and energy storage resources.</t>
  </si>
  <si>
    <t>Rate change approved under Rider E, which is the mechanism through which the company recovers its costs to comply with US Environmental Protection Agency and Virginia Waste Management Board rules.</t>
  </si>
  <si>
    <t>Rate change approved under Rider Coal Combustion Residuals, which pertains to the recovery of costs incurred to comply with state and environmental laws and regulations.</t>
  </si>
  <si>
    <t>Rate change authorized as part of automatic cost-of-capital adjustment mechanisms are in place, under which authorized equity returns are reviewed annually and, if changes in utility bond yields exceed 100 basis points, the authorized ROEs are adjusted accordingly.</t>
  </si>
  <si>
    <t>Excluding incentives, the commission's order specified a base ROE of 9.5% and a base overall return of 7.43%.</t>
  </si>
  <si>
    <t>Rate change approved under renewable natural gas rider.</t>
  </si>
  <si>
    <t>Rate change approved under system integrity program rider.</t>
  </si>
  <si>
    <t>Rate change approved under company's infrastructure system replacement surcharge rider.</t>
  </si>
  <si>
    <t>Rate change approved under company's pipe replacement program.</t>
  </si>
  <si>
    <t>Rate change occurred under a rider that pertains to investment made under Virginia Steps to Advance Virginia Energy (SAVE) infrastructure program.</t>
  </si>
  <si>
    <t>Rate change occurred under a rider that pertains to the company’s investment in renewable natural gas projects.</t>
  </si>
  <si>
    <t>Rate change approved under company's pipeline replacement and expansion program rider.</t>
  </si>
  <si>
    <t>Rate change under company's strategic infrastructure development and enhancement (STRIDE) plan</t>
  </si>
  <si>
    <t>Company's infrastructure replacement and improvement plan was rejected.</t>
  </si>
  <si>
    <t xml:space="preserve">Note:  Kentucky Power's Value Line risk indicators are for its parent company, AEP.  </t>
  </si>
  <si>
    <t>Credit Ratings</t>
  </si>
  <si>
    <t>Industrial</t>
  </si>
  <si>
    <t>Revenues</t>
  </si>
  <si>
    <t>10-k</t>
  </si>
  <si>
    <t>Form 1</t>
  </si>
  <si>
    <t>Houston Elec. Form 1</t>
  </si>
  <si>
    <t>Kentucky Power Form 1</t>
  </si>
  <si>
    <t>Weighted ROE</t>
  </si>
  <si>
    <t>CenterPoint Energy Houston Elec.</t>
  </si>
  <si>
    <t>Central Hudson Gas &amp; Elec.</t>
  </si>
  <si>
    <t>Liberty Utilities Corp.</t>
  </si>
  <si>
    <t>Southern Indiana Gas and Elec.</t>
  </si>
  <si>
    <t>Orange and Rockland Utilities</t>
  </si>
  <si>
    <t>Fitchburg Gas and Electric</t>
  </si>
  <si>
    <t>Public Service Electric &amp; Gas</t>
  </si>
  <si>
    <t>Bear Valley Elec. Service Inc.</t>
  </si>
  <si>
    <t>Minnesota Power Enterprises</t>
  </si>
  <si>
    <t>Requested ROE</t>
  </si>
  <si>
    <t>Kentucky Power Requested</t>
  </si>
  <si>
    <t>Retained</t>
  </si>
  <si>
    <t>Payout</t>
  </si>
  <si>
    <t>Stock</t>
  </si>
  <si>
    <t>Earnings</t>
  </si>
  <si>
    <t>Ratio</t>
  </si>
  <si>
    <t>Page 1 of 6</t>
  </si>
  <si>
    <t xml:space="preserve">May </t>
  </si>
  <si>
    <t>Jan. 2025</t>
  </si>
  <si>
    <t>Jun. 2025</t>
  </si>
  <si>
    <t>June</t>
  </si>
  <si>
    <t xml:space="preserve">June 2025 6-Mo. Baa Avg. </t>
  </si>
  <si>
    <t>CAPM MRP</t>
  </si>
  <si>
    <t>20% of CAPM MRP</t>
  </si>
  <si>
    <t>Earned ROE</t>
  </si>
  <si>
    <t>Authorized ROE</t>
  </si>
  <si>
    <t>Source: Monthly Financial Reports.</t>
  </si>
  <si>
    <t>Count if &gt;0.4613</t>
  </si>
  <si>
    <t>Underwriting</t>
  </si>
  <si>
    <t>Gross Proceeds</t>
  </si>
  <si>
    <t>Flotation</t>
  </si>
  <si>
    <t>Offering</t>
  </si>
  <si>
    <t>Discount</t>
  </si>
  <si>
    <t>Before Flot.</t>
  </si>
  <si>
    <t>Cost</t>
  </si>
  <si>
    <t>Latest</t>
  </si>
  <si>
    <t>Net</t>
  </si>
  <si>
    <t>No.</t>
  </si>
  <si>
    <t>Sym</t>
  </si>
  <si>
    <t>Issued</t>
  </si>
  <si>
    <t>(per share)</t>
  </si>
  <si>
    <t>Expense</t>
  </si>
  <si>
    <t>Costs</t>
  </si>
  <si>
    <t>(%)</t>
  </si>
  <si>
    <t>Proceeds</t>
  </si>
  <si>
    <t>Consolidated Edison (a)</t>
  </si>
  <si>
    <t>Con Ed "Follow-On Offering" (a)</t>
  </si>
  <si>
    <t>Dominion Energy (a)</t>
  </si>
  <si>
    <t>Duke Energy Corp. (a)</t>
  </si>
  <si>
    <t>N/A</t>
  </si>
  <si>
    <t>Eversource Energy (a)</t>
  </si>
  <si>
    <t>Exelon Corp. (a)</t>
  </si>
  <si>
    <t>NextEra Energy, Inc. (a)</t>
  </si>
  <si>
    <t>NorthWestern Energy Group</t>
  </si>
  <si>
    <t>Southern Company (a)</t>
  </si>
  <si>
    <t>TXNM Energy (a)</t>
  </si>
  <si>
    <t>Xcel Energy Inc. (a)</t>
  </si>
  <si>
    <t>Chesapeake Utilities</t>
  </si>
  <si>
    <t>New Jersey Resources</t>
  </si>
  <si>
    <t>NiSource Inc.</t>
  </si>
  <si>
    <t>Northwest Nat. Holding Co.</t>
  </si>
  <si>
    <t>ONE Gas, Inc.</t>
  </si>
  <si>
    <t>Southwest Gas</t>
  </si>
  <si>
    <t>SR</t>
  </si>
  <si>
    <t>Spire Inc.</t>
  </si>
  <si>
    <t>Average - Electric &amp; Gas</t>
  </si>
  <si>
    <t>Column Notes:</t>
  </si>
  <si>
    <t>(1-4)</t>
  </si>
  <si>
    <t>SEC Form 424B for each company (through Mar 17, 2025).</t>
  </si>
  <si>
    <t>(5)</t>
  </si>
  <si>
    <t>Column (2) * Column (4)</t>
  </si>
  <si>
    <t>(6)</t>
  </si>
  <si>
    <t>(7)</t>
  </si>
  <si>
    <t>Column (5) + Column (6)</t>
  </si>
  <si>
    <t>(8)</t>
  </si>
  <si>
    <t>Column (2) * Column (3)</t>
  </si>
  <si>
    <t>(9)</t>
  </si>
  <si>
    <t>Column (7) / Column (8)</t>
  </si>
  <si>
    <t xml:space="preserve">Note (a):  </t>
  </si>
  <si>
    <t>Underwriting discount computed as the difference between the current market price and the price offered to the issuing company by the underwriters.</t>
  </si>
  <si>
    <t>FLOTATION COST STUDY</t>
  </si>
  <si>
    <t>ELECTRIC &amp; GAS UTILITIES</t>
  </si>
  <si>
    <t>Exhibit AMM-12</t>
  </si>
  <si>
    <t>12 (1)</t>
  </si>
  <si>
    <t>12 (2)</t>
  </si>
  <si>
    <t>12 (3)</t>
  </si>
  <si>
    <t xml:space="preserve">  Flotation Cost</t>
  </si>
  <si>
    <r>
      <t xml:space="preserve">Roger A. Morin, </t>
    </r>
    <r>
      <rPr>
        <i/>
        <sz val="10"/>
        <rFont val="Times New Roman"/>
        <family val="1"/>
      </rPr>
      <t>New Regulatory Finance</t>
    </r>
    <r>
      <rPr>
        <sz val="10"/>
        <rFont val="Times New Roman"/>
        <family val="1"/>
      </rPr>
      <t>, Pub. Utils. Reports, Inc. (2006) at 190.</t>
    </r>
  </si>
  <si>
    <t>PROXY GROUP SELECTION - 8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</si>
</sst>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2">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 \ "/>
    <numFmt numFmtId="166" formatCode="_(* #,##0_);_(* \(#,##0\);_(* &quot;-&quot;??_);_(@_)"/>
    <numFmt numFmtId="167" formatCode="0.0000"/>
    <numFmt numFmtId="168" formatCode="_(&quot;$&quot;* #,##0.0_);_(&quot;$&quot;* \(#,##0.0\);_(&quot;$&quot;* &quot;-&quot;??_);_(@_)"/>
    <numFmt numFmtId="169" formatCode="0.000000"/>
    <numFmt numFmtId="170" formatCode="&quot;$&quot;#,##0"/>
    <numFmt numFmtId="171" formatCode="_(* #,##0.000000_);_(* \(#,##0.000000\);_(* &quot;-&quot;??_);_(@_)"/>
    <numFmt numFmtId="172" formatCode="0_);[Red]\(0\)"/>
    <numFmt numFmtId="173" formatCode="_(* #,##0.0_);_(* \(#,##0.0\);_(* &quot;-&quot;??_);_(@_)"/>
    <numFmt numFmtId="174" formatCode="_(* #,##0.0000_);_(* \(#,##0.0000\);_(* &quot;-&quot;??_);_(@_)"/>
    <numFmt numFmtId="175" formatCode="#,##0.000_);\(#,##0.000\)"/>
    <numFmt numFmtId="176" formatCode="0.00_)"/>
    <numFmt numFmtId="177" formatCode="&quot;$&quot;#,##0.0_);\(&quot;$&quot;#,##0.0\)"/>
    <numFmt numFmtId="178" formatCode="[$-409]mmm\-yy;@"/>
    <numFmt numFmtId="179" formatCode="#,##0.0_);\(#,##0.0\)"/>
    <numFmt numFmtId="180" formatCode="0;\-0;;@"/>
    <numFmt numFmtId="181" formatCode="#,##0.000"/>
    <numFmt numFmtId="182" formatCode="_(* #,##0.000_);_(* \(#,##0.000\);_(* &quot;-&quot;??_);_(@_)"/>
    <numFmt numFmtId="183" formatCode="0_);\(0\)"/>
    <numFmt numFmtId="184" formatCode="_-* #,##0.00_-;\-* #,##0.00_-;_-* &quot;-&quot;??_-;_-@_-"/>
    <numFmt numFmtId="185" formatCode="0.000"/>
    <numFmt numFmtId="186" formatCode="_(* #,##0.00000_);_(* \(#,##0.00000\);_(* &quot;-&quot;??_);_(@_)"/>
    <numFmt numFmtId="187" formatCode="m/d/yy;@"/>
    <numFmt numFmtId="188" formatCode="0.0"/>
    <numFmt numFmtId="189" formatCode="mm/dd/yy;@"/>
    <numFmt numFmtId="190" formatCode="m/d/yy"/>
    <numFmt numFmtId="191" formatCode="m/yy"/>
    <numFmt numFmtId="192" formatCode="#,##0.0;[Red]#,##0.0"/>
    <numFmt numFmtId="193" formatCode="#,##0.0"/>
    <numFmt numFmtId="194" formatCode="0.0000_);[Red]\(0.0000\)"/>
    <numFmt numFmtId="195" formatCode="m/d/yyyy;@"/>
    <numFmt numFmtId="196" formatCode="&quot;$&quot;#,##0.00000_);[Red]\(&quot;$&quot;#,##0.00000\)"/>
    <numFmt numFmtId="197" formatCode="0.000%"/>
  </numFmts>
  <fonts count="100">
    <font>
      <sz val="10"/>
      <name val="Arial"/>
    </font>
    <font>
      <sz val="12"/>
      <color theme="1"/>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2"/>
      <color theme="1"/>
      <name val="Times New Roman"/>
      <family val="2"/>
    </font>
    <font>
      <sz val="10"/>
      <name val="Arial"/>
      <family val="2"/>
    </font>
    <font>
      <sz val="10"/>
      <name val="Courier"/>
      <family val="3"/>
    </font>
    <font>
      <sz val="11"/>
      <name val="Palatino Linotype"/>
      <family val="1"/>
    </font>
    <font>
      <sz val="10"/>
      <name val="Times New Roman"/>
      <family val="1"/>
    </font>
    <font>
      <sz val="11"/>
      <name val="Times New Roman"/>
      <family val="1"/>
    </font>
    <font>
      <b/>
      <sz val="11"/>
      <name val="Times New Roman"/>
      <family val="1"/>
    </font>
    <font>
      <sz val="10"/>
      <name val="Arial"/>
      <family val="2"/>
    </font>
    <font>
      <b/>
      <sz val="12"/>
      <name val="Times New Roman"/>
      <family val="1"/>
    </font>
    <font>
      <sz val="12"/>
      <name val="Times New Roman"/>
      <family val="1"/>
    </font>
    <font>
      <u/>
      <sz val="12"/>
      <name val="Times New Roman"/>
      <family val="1"/>
    </font>
    <font>
      <b/>
      <u/>
      <sz val="12"/>
      <name val="Times New Roman"/>
      <family val="1"/>
    </font>
    <font>
      <sz val="8"/>
      <name val="Helv"/>
    </font>
    <font>
      <b/>
      <sz val="10"/>
      <name val="Times New Roman"/>
      <family val="1"/>
    </font>
    <font>
      <sz val="12"/>
      <color rgb="FF0000FF"/>
      <name val="Times New Roman"/>
      <family val="1"/>
    </font>
    <font>
      <i/>
      <sz val="10"/>
      <name val="Times New Roman"/>
      <family val="1"/>
    </font>
    <font>
      <sz val="12"/>
      <color indexed="12"/>
      <name val="Times New Roman"/>
      <family val="1"/>
    </font>
    <font>
      <b/>
      <sz val="9"/>
      <color indexed="81"/>
      <name val="Tahoma"/>
      <family val="2"/>
    </font>
    <font>
      <sz val="9"/>
      <color indexed="81"/>
      <name val="Tahoma"/>
      <family val="2"/>
    </font>
    <font>
      <sz val="8"/>
      <name val="Arial"/>
      <family val="2"/>
    </font>
    <font>
      <b/>
      <sz val="12"/>
      <name val="Palatino Linotype"/>
      <family val="1"/>
    </font>
    <font>
      <sz val="12"/>
      <color indexed="10"/>
      <name val="Times New Roman"/>
      <family val="1"/>
    </font>
    <font>
      <sz val="12"/>
      <color theme="1"/>
      <name val="Times New Roman"/>
      <family val="1"/>
    </font>
    <font>
      <u/>
      <sz val="10"/>
      <color theme="10"/>
      <name val="Arial"/>
      <family val="2"/>
    </font>
    <font>
      <b/>
      <sz val="12"/>
      <color rgb="FF00B050"/>
      <name val="Times New Roman"/>
      <family val="1"/>
    </font>
    <font>
      <sz val="11"/>
      <color theme="1"/>
      <name val="Palatino Linotype"/>
      <family val="2"/>
    </font>
    <font>
      <sz val="11"/>
      <color theme="1"/>
      <name val="Calibri"/>
      <family val="2"/>
      <scheme val="minor"/>
    </font>
    <font>
      <sz val="12"/>
      <name val="Arial"/>
      <family val="2"/>
    </font>
    <font>
      <sz val="12"/>
      <name val="Arial MT"/>
    </font>
    <font>
      <b/>
      <sz val="12"/>
      <name val="Arial"/>
      <family val="2"/>
    </font>
    <font>
      <sz val="11"/>
      <color theme="1"/>
      <name val="Times New Roman"/>
      <family val="2"/>
    </font>
    <font>
      <sz val="12"/>
      <color theme="1"/>
      <name val="Arial"/>
      <family val="2"/>
    </font>
    <font>
      <sz val="9"/>
      <name val="Arial"/>
      <family val="2"/>
    </font>
    <font>
      <sz val="7"/>
      <name val="Arial"/>
      <family val="2"/>
    </font>
    <font>
      <sz val="9"/>
      <color indexed="10"/>
      <name val="Arial"/>
      <family val="2"/>
    </font>
    <font>
      <sz val="10"/>
      <color indexed="10"/>
      <name val="Arial"/>
      <family val="2"/>
    </font>
    <font>
      <sz val="16"/>
      <name val="Arial"/>
      <family val="2"/>
    </font>
    <font>
      <sz val="14"/>
      <name val="Arial"/>
      <family val="2"/>
    </font>
    <font>
      <sz val="10"/>
      <name val="Tahoma"/>
      <family val="2"/>
    </font>
    <font>
      <u/>
      <sz val="10"/>
      <color indexed="12"/>
      <name val="Helv"/>
    </font>
    <font>
      <u/>
      <sz val="11"/>
      <color theme="10"/>
      <name val="Calibri"/>
      <family val="2"/>
    </font>
    <font>
      <sz val="10"/>
      <color theme="1"/>
      <name val="Calibri"/>
      <family val="2"/>
      <scheme val="minor"/>
    </font>
    <font>
      <b/>
      <sz val="12"/>
      <color rgb="FF00B0F0"/>
      <name val="Times New Roman"/>
      <family val="1"/>
    </font>
    <font>
      <b/>
      <sz val="11"/>
      <color rgb="FF00B050"/>
      <name val="Times New Roman"/>
      <family val="1"/>
    </font>
    <font>
      <b/>
      <u/>
      <sz val="11"/>
      <name val="Times New Roman"/>
      <family val="1"/>
    </font>
    <font>
      <sz val="11"/>
      <color indexed="12"/>
      <name val="Times New Roman"/>
      <family val="1"/>
    </font>
    <font>
      <b/>
      <sz val="10"/>
      <name val="Palatino Linotype"/>
      <family val="1"/>
    </font>
    <font>
      <sz val="10"/>
      <name val="Palatino Linotype"/>
      <family val="1"/>
    </font>
    <font>
      <sz val="12"/>
      <color rgb="FF00B050"/>
      <name val="Times New Roman"/>
      <family val="1"/>
    </font>
    <font>
      <b/>
      <sz val="11"/>
      <color rgb="FFFF0000"/>
      <name val="Times New Roman"/>
      <family val="1"/>
    </font>
    <font>
      <sz val="10"/>
      <color rgb="FF000000"/>
      <name val="Arial"/>
      <family val="2"/>
    </font>
    <font>
      <b/>
      <i/>
      <sz val="11"/>
      <name val="Times New Roman"/>
      <family val="1"/>
    </font>
    <font>
      <b/>
      <sz val="12"/>
      <color rgb="FFFFFF00"/>
      <name val="Times New Roman"/>
      <family val="1"/>
    </font>
    <font>
      <sz val="12"/>
      <color rgb="FFFFFF00"/>
      <name val="Times New Roman"/>
      <family val="1"/>
    </font>
    <font>
      <sz val="12"/>
      <color rgb="FF0070C0"/>
      <name val="Times New Roman"/>
      <family val="1"/>
    </font>
    <font>
      <b/>
      <sz val="12"/>
      <color rgb="FFFF0000"/>
      <name val="Times New Roman"/>
      <family val="1"/>
    </font>
    <font>
      <i/>
      <sz val="12"/>
      <name val="Times New Roman"/>
      <family val="1"/>
    </font>
    <font>
      <b/>
      <u val="double"/>
      <sz val="12"/>
      <name val="Times New Roman"/>
      <family val="1"/>
    </font>
    <font>
      <b/>
      <vertAlign val="subscript"/>
      <sz val="12"/>
      <name val="Times New Roman"/>
      <family val="1"/>
    </font>
    <font>
      <sz val="12"/>
      <color rgb="FF000000"/>
      <name val="Times New Roman"/>
      <family val="1"/>
    </font>
    <font>
      <u/>
      <sz val="10"/>
      <name val="Times New Roman"/>
      <family val="1"/>
    </font>
    <font>
      <sz val="12"/>
      <color rgb="FFFF00FF"/>
      <name val="Times New Roman"/>
      <family val="1"/>
    </font>
    <font>
      <sz val="10"/>
      <color rgb="FF000000"/>
      <name val="Times New Roman"/>
      <family val="1"/>
    </font>
    <font>
      <b/>
      <i/>
      <sz val="12"/>
      <name val="Times New Roman"/>
      <family val="1"/>
    </font>
    <font>
      <b/>
      <i/>
      <vertAlign val="superscript"/>
      <sz val="12"/>
      <name val="Times New Roman"/>
      <family val="1"/>
    </font>
    <font>
      <b/>
      <sz val="12"/>
      <color rgb="FF14487F"/>
      <name val="Arial"/>
      <family val="2"/>
    </font>
    <font>
      <b/>
      <sz val="11"/>
      <color rgb="FF4D4D4F"/>
      <name val="Arial"/>
      <family val="2"/>
    </font>
    <font>
      <b/>
      <sz val="11"/>
      <color rgb="FF14487F"/>
      <name val="Arial"/>
      <family val="2"/>
    </font>
    <font>
      <b/>
      <sz val="10.95"/>
      <color rgb="FF4D4D4F"/>
      <name val="Arial"/>
      <family val="2"/>
    </font>
    <font>
      <sz val="10.95"/>
      <color rgb="FF4D4D4F"/>
      <name val="Arial"/>
      <family val="2"/>
    </font>
    <font>
      <b/>
      <sz val="12"/>
      <color theme="1"/>
      <name val="Times New Roman"/>
      <family val="1"/>
    </font>
    <font>
      <sz val="10"/>
      <color theme="1"/>
      <name val="Times New Roman"/>
      <family val="1"/>
    </font>
    <font>
      <b/>
      <i/>
      <sz val="8"/>
      <color theme="1"/>
      <name val="Arial"/>
      <family val="2"/>
    </font>
    <font>
      <sz val="8"/>
      <color theme="1"/>
      <name val="Arial"/>
      <family val="2"/>
    </font>
    <font>
      <b/>
      <sz val="18"/>
      <name val="Arial"/>
      <family val="2"/>
    </font>
    <font>
      <b/>
      <sz val="8"/>
      <name val="Arial"/>
      <family val="2"/>
    </font>
    <font>
      <b/>
      <sz val="10"/>
      <color theme="1"/>
      <name val="Arial"/>
      <family val="2"/>
    </font>
    <font>
      <b/>
      <sz val="9"/>
      <color theme="1"/>
      <name val="Arial"/>
      <family val="2"/>
    </font>
    <font>
      <b/>
      <sz val="8"/>
      <color theme="1"/>
      <name val="Arial"/>
      <family val="2"/>
    </font>
    <font>
      <i/>
      <sz val="8"/>
      <color theme="1"/>
      <name val="Arial"/>
      <family val="2"/>
    </font>
    <font>
      <sz val="8"/>
      <color rgb="FF000000"/>
      <name val="Arial"/>
      <family val="2"/>
    </font>
    <font>
      <sz val="8"/>
      <color rgb="FF444444"/>
      <name val="Arial"/>
      <family val="2"/>
    </font>
    <font>
      <sz val="8"/>
      <color rgb="FFFF0000"/>
      <name val="Arial"/>
      <family val="2"/>
    </font>
    <font>
      <b/>
      <sz val="8"/>
      <color rgb="FFFF0000"/>
      <name val="Arial"/>
      <family val="2"/>
    </font>
    <font>
      <sz val="10"/>
      <name val="Arial"/>
      <family val="2"/>
    </font>
    <font>
      <u val="singleAccounting"/>
      <sz val="8"/>
      <color theme="1"/>
      <name val="Arial"/>
      <family val="2"/>
    </font>
    <font>
      <u val="singleAccounting"/>
      <sz val="12"/>
      <name val="Times New Roman"/>
      <family val="1"/>
    </font>
    <font>
      <b/>
      <u/>
      <sz val="11"/>
      <color theme="1"/>
      <name val="Calibri"/>
      <family val="2"/>
      <scheme val="minor"/>
    </font>
    <font>
      <sz val="11"/>
      <color rgb="FFFF0000"/>
      <name val="Calibri"/>
      <family val="2"/>
      <scheme val="minor"/>
    </font>
    <font>
      <i/>
      <sz val="11"/>
      <color theme="1"/>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indexed="43"/>
        <bgColor indexed="64"/>
      </patternFill>
    </fill>
    <fill>
      <patternFill patternType="solid">
        <fgColor indexed="22"/>
        <bgColor indexed="64"/>
      </patternFill>
    </fill>
    <fill>
      <patternFill patternType="solid">
        <fgColor rgb="FFD2FEF9"/>
        <bgColor indexed="64"/>
      </patternFill>
    </fill>
    <fill>
      <patternFill patternType="solid">
        <fgColor rgb="FFBFBFBF"/>
        <bgColor rgb="FF000000"/>
      </patternFill>
    </fill>
    <fill>
      <patternFill patternType="solid">
        <fgColor rgb="FFF6F6F6"/>
      </patternFill>
    </fill>
    <fill>
      <patternFill patternType="solid">
        <fgColor theme="9" tint="0.79998168889431442"/>
        <bgColor indexed="64"/>
      </patternFill>
    </fill>
  </fills>
  <borders count="26">
    <border>
      <left/>
      <right/>
      <top/>
      <bottom/>
      <diagonal/>
    </border>
    <border>
      <left/>
      <right/>
      <top style="medium">
        <color indexed="64"/>
      </top>
      <bottom style="thin">
        <color indexed="64"/>
      </bottom>
      <diagonal/>
    </border>
    <border>
      <left/>
      <right/>
      <top/>
      <bottom style="thin">
        <color indexed="64"/>
      </bottom>
      <diagonal/>
    </border>
    <border>
      <left/>
      <right/>
      <top/>
      <bottom style="medium">
        <color indexed="64"/>
      </bottom>
      <diagonal/>
    </border>
    <border>
      <left/>
      <right/>
      <top style="thin">
        <color auto="1"/>
      </top>
      <bottom/>
      <diagonal/>
    </border>
    <border>
      <left/>
      <right/>
      <top style="double">
        <color auto="1"/>
      </top>
      <bottom/>
      <diagonal/>
    </border>
    <border>
      <left/>
      <right/>
      <top/>
      <bottom style="thin">
        <color indexed="8"/>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indexed="55"/>
      </top>
      <bottom style="medium">
        <color indexed="8"/>
      </bottom>
      <diagonal/>
    </border>
    <border>
      <left/>
      <right/>
      <top/>
      <bottom style="thin">
        <color indexed="63"/>
      </bottom>
      <diagonal/>
    </border>
    <border>
      <left/>
      <right/>
      <top style="thin">
        <color indexed="55"/>
      </top>
      <bottom/>
      <diagonal/>
    </border>
    <border>
      <left style="thin">
        <color auto="1"/>
      </left>
      <right style="thin">
        <color auto="1"/>
      </right>
      <top style="thin">
        <color auto="1"/>
      </top>
      <bottom style="thin">
        <color auto="1"/>
      </bottom>
      <diagonal/>
    </border>
    <border>
      <left/>
      <right/>
      <top style="thin">
        <color indexed="55"/>
      </top>
      <bottom style="medium">
        <color indexed="8"/>
      </bottom>
      <diagonal/>
    </border>
    <border>
      <left/>
      <right/>
      <top style="thin">
        <color indexed="55"/>
      </top>
      <bottom/>
      <diagonal/>
    </border>
    <border>
      <left/>
      <right/>
      <top/>
      <bottom style="double">
        <color auto="1"/>
      </bottom>
      <diagonal/>
    </border>
    <border>
      <left/>
      <right/>
      <top style="thin">
        <color indexed="64"/>
      </top>
      <bottom style="double">
        <color indexed="64"/>
      </bottom>
      <diagonal/>
    </border>
    <border>
      <left style="thin">
        <color rgb="FFD9D9D9"/>
      </left>
      <right style="thin">
        <color rgb="FFD9D9D9"/>
      </right>
      <top style="thin">
        <color rgb="FFD9D9D9"/>
      </top>
      <bottom style="thin">
        <color rgb="FFD9D9D9"/>
      </bottom>
      <diagonal/>
    </border>
    <border>
      <left style="thin">
        <color auto="1"/>
      </left>
      <right style="thin">
        <color auto="1"/>
      </right>
      <top style="thin">
        <color auto="1"/>
      </top>
      <bottom style="thin">
        <color auto="1"/>
      </bottom>
      <diagonal/>
    </border>
  </borders>
  <cellStyleXfs count="2835">
    <xf numFmtId="0" fontId="0" fillId="0" borderId="0"/>
    <xf numFmtId="9" fontId="17" fillId="0" borderId="0" applyFont="0" applyFill="0" applyBorder="0" applyAlignment="0" applyProtection="0"/>
    <xf numFmtId="0" fontId="12" fillId="0" borderId="0"/>
    <xf numFmtId="9" fontId="11" fillId="0" borderId="0" applyFont="0" applyFill="0" applyBorder="0" applyAlignment="0" applyProtection="0"/>
    <xf numFmtId="0" fontId="13" fillId="0" borderId="0"/>
    <xf numFmtId="0" fontId="12" fillId="0" borderId="0"/>
    <xf numFmtId="0" fontId="13" fillId="0" borderId="0"/>
    <xf numFmtId="0" fontId="11" fillId="0" borderId="0"/>
    <xf numFmtId="43"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22" fillId="0" borderId="0"/>
    <xf numFmtId="0" fontId="13" fillId="0" borderId="0"/>
    <xf numFmtId="176" fontId="12" fillId="0" borderId="0"/>
    <xf numFmtId="0" fontId="11" fillId="0" borderId="0"/>
    <xf numFmtId="9" fontId="11" fillId="0" borderId="0" applyFont="0" applyFill="0" applyBorder="0" applyAlignment="0" applyProtection="0"/>
    <xf numFmtId="39" fontId="12" fillId="0" borderId="0"/>
    <xf numFmtId="9" fontId="29" fillId="0" borderId="0" applyFont="0" applyFill="0" applyBorder="0" applyAlignment="0" applyProtection="0"/>
    <xf numFmtId="0" fontId="13" fillId="0" borderId="0"/>
    <xf numFmtId="0" fontId="13" fillId="0" borderId="0"/>
    <xf numFmtId="0" fontId="13" fillId="0" borderId="0"/>
    <xf numFmtId="0" fontId="13" fillId="0" borderId="0"/>
    <xf numFmtId="0" fontId="10" fillId="0" borderId="0"/>
    <xf numFmtId="9" fontId="10" fillId="0" borderId="0" applyFont="0" applyFill="0" applyBorder="0" applyAlignment="0" applyProtection="0"/>
    <xf numFmtId="0" fontId="35" fillId="0" borderId="0"/>
    <xf numFmtId="43" fontId="3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35" fillId="0" borderId="0"/>
    <xf numFmtId="0" fontId="13" fillId="0" borderId="0"/>
    <xf numFmtId="0" fontId="38" fillId="0" borderId="0"/>
    <xf numFmtId="9" fontId="11" fillId="0" borderId="0" applyFont="0" applyFill="0" applyBorder="0" applyAlignment="0" applyProtection="0"/>
    <xf numFmtId="9" fontId="36"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0" fontId="11" fillId="0" borderId="0"/>
    <xf numFmtId="0" fontId="11" fillId="0" borderId="0"/>
    <xf numFmtId="0" fontId="9" fillId="0" borderId="0"/>
    <xf numFmtId="0" fontId="11" fillId="0" borderId="0"/>
    <xf numFmtId="0" fontId="40" fillId="0" borderId="0"/>
    <xf numFmtId="0" fontId="11" fillId="0" borderId="0"/>
    <xf numFmtId="0" fontId="35" fillId="0" borderId="0"/>
    <xf numFmtId="0" fontId="35" fillId="0" borderId="0"/>
    <xf numFmtId="0" fontId="35" fillId="0" borderId="0"/>
    <xf numFmtId="0" fontId="35" fillId="0" borderId="0"/>
    <xf numFmtId="0" fontId="13" fillId="0" borderId="0"/>
    <xf numFmtId="0" fontId="11" fillId="0" borderId="0"/>
    <xf numFmtId="0" fontId="13" fillId="0" borderId="0"/>
    <xf numFmtId="0" fontId="8" fillId="0" borderId="0"/>
    <xf numFmtId="9" fontId="11" fillId="0" borderId="0" applyFont="0" applyFill="0" applyBorder="0" applyAlignment="0" applyProtection="0"/>
    <xf numFmtId="9" fontId="35" fillId="0" borderId="0" applyFont="0" applyFill="0" applyBorder="0" applyAlignment="0" applyProtection="0"/>
    <xf numFmtId="0" fontId="35" fillId="0" borderId="0"/>
    <xf numFmtId="0" fontId="35" fillId="0" borderId="0"/>
    <xf numFmtId="0" fontId="41" fillId="0" borderId="0"/>
    <xf numFmtId="0" fontId="41" fillId="0" borderId="0"/>
    <xf numFmtId="0" fontId="8" fillId="0" borderId="0"/>
    <xf numFmtId="9" fontId="10" fillId="0" borderId="0" applyFont="0" applyFill="0" applyBorder="0" applyAlignment="0" applyProtection="0"/>
    <xf numFmtId="0" fontId="10" fillId="0" borderId="0"/>
    <xf numFmtId="44" fontId="35" fillId="0" borderId="0" applyFont="0" applyFill="0" applyBorder="0" applyAlignment="0" applyProtection="0"/>
    <xf numFmtId="0" fontId="33" fillId="0" borderId="0" applyNumberFormat="0" applyFill="0" applyBorder="0" applyAlignment="0" applyProtection="0"/>
    <xf numFmtId="0" fontId="11" fillId="0" borderId="0"/>
    <xf numFmtId="9" fontId="11" fillId="0" borderId="0" applyFont="0" applyFill="0" applyBorder="0" applyAlignment="0" applyProtection="0"/>
    <xf numFmtId="0" fontId="8" fillId="0" borderId="0"/>
    <xf numFmtId="0" fontId="7" fillId="0" borderId="0"/>
    <xf numFmtId="41" fontId="11" fillId="0" borderId="0" applyFont="0" applyFill="0" applyBorder="0" applyAlignment="0" applyProtection="0"/>
    <xf numFmtId="43" fontId="7" fillId="0" borderId="0" applyFont="0" applyFill="0" applyBorder="0" applyAlignment="0" applyProtection="0"/>
    <xf numFmtId="43" fontId="11" fillId="0" borderId="0" applyFont="0" applyFill="0" applyBorder="0" applyAlignment="0" applyProtection="0"/>
    <xf numFmtId="0" fontId="38" fillId="0" borderId="0"/>
    <xf numFmtId="9" fontId="7"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0" fontId="7" fillId="0" borderId="0"/>
    <xf numFmtId="0" fontId="7" fillId="0" borderId="0"/>
    <xf numFmtId="0" fontId="7" fillId="0" borderId="0"/>
    <xf numFmtId="0" fontId="7" fillId="0" borderId="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2" fontId="11" fillId="0" borderId="0" applyFont="0" applyFill="0" applyBorder="0" applyProtection="0">
      <alignment horizontal="left"/>
    </xf>
    <xf numFmtId="42" fontId="11" fillId="0" borderId="0" applyFont="0" applyFill="0" applyBorder="0" applyProtection="0">
      <alignment horizontal="left"/>
    </xf>
    <xf numFmtId="42" fontId="11" fillId="0" borderId="0" applyFont="0" applyFill="0" applyBorder="0" applyProtection="0">
      <alignment horizontal="left"/>
    </xf>
    <xf numFmtId="42" fontId="11" fillId="0" borderId="0" applyFont="0" applyFill="0" applyBorder="0" applyProtection="0">
      <alignment horizontal="left"/>
    </xf>
    <xf numFmtId="42" fontId="11" fillId="0" borderId="0" applyFont="0" applyFill="0" applyBorder="0" applyProtection="0">
      <alignment horizontal="left"/>
    </xf>
    <xf numFmtId="44" fontId="11" fillId="0" borderId="0" applyFont="0" applyFill="0" applyBorder="0" applyAlignment="0" applyProtection="0"/>
    <xf numFmtId="44" fontId="4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4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2" fillId="0" borderId="0">
      <alignment wrapText="1"/>
    </xf>
    <xf numFmtId="0" fontId="43" fillId="0" borderId="0" applyNumberFormat="0" applyFont="0" applyBorder="0" applyAlignment="0">
      <alignment vertical="center"/>
    </xf>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39" fillId="5" borderId="15">
      <alignment horizontal="center" vertical="center"/>
    </xf>
    <xf numFmtId="0" fontId="11" fillId="0" borderId="16" applyNumberFormat="0" applyAlignment="0">
      <alignment vertical="center"/>
    </xf>
    <xf numFmtId="0" fontId="42" fillId="0" borderId="0" applyNumberFormat="0">
      <alignment vertical="center"/>
    </xf>
    <xf numFmtId="0" fontId="11" fillId="0" borderId="0"/>
    <xf numFmtId="0" fontId="11" fillId="0" borderId="0"/>
    <xf numFmtId="0" fontId="37" fillId="0" borderId="0"/>
    <xf numFmtId="0" fontId="7" fillId="0" borderId="0"/>
    <xf numFmtId="0" fontId="11" fillId="0" borderId="0"/>
    <xf numFmtId="0" fontId="11" fillId="0" borderId="0"/>
    <xf numFmtId="0" fontId="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0" borderId="0" applyNumberFormat="0">
      <alignment vertical="center"/>
    </xf>
    <xf numFmtId="0" fontId="42" fillId="0" borderId="0" applyNumberFormat="0">
      <alignment vertical="center"/>
    </xf>
    <xf numFmtId="0" fontId="11" fillId="0" borderId="0"/>
    <xf numFmtId="0" fontId="11" fillId="0" borderId="0"/>
    <xf numFmtId="0" fontId="11" fillId="0" borderId="0"/>
    <xf numFmtId="0" fontId="42" fillId="0" borderId="0" applyNumberForma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0" borderId="0" applyNumberForma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0" borderId="0" applyNumberFormat="0">
      <alignment vertical="center"/>
    </xf>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41" fontId="45" fillId="0" borderId="17" applyNumberFormat="0" applyFont="0" applyFill="0" applyAlignment="0" applyProtection="0">
      <alignment horizontal="right" vertical="center"/>
    </xf>
    <xf numFmtId="0" fontId="44" fillId="0" borderId="3" applyNumberFormat="0" applyFont="0" applyFill="0" applyAlignment="0" applyProtection="0">
      <alignment vertical="center"/>
    </xf>
    <xf numFmtId="0" fontId="45" fillId="6" borderId="18" applyNumberFormat="0" applyFont="0" applyBorder="0" applyAlignment="0" applyProtection="0"/>
    <xf numFmtId="0" fontId="37" fillId="0" borderId="0"/>
    <xf numFmtId="0" fontId="47" fillId="0" borderId="0">
      <alignment horizontal="left" wrapText="1"/>
    </xf>
    <xf numFmtId="0" fontId="46" fillId="0" borderId="0">
      <alignment horizontal="left"/>
    </xf>
    <xf numFmtId="183" fontId="44" fillId="0" borderId="0" applyFont="0" applyFill="0" applyBorder="0" applyProtection="0">
      <alignment vertical="center"/>
    </xf>
    <xf numFmtId="184" fontId="7" fillId="0" borderId="0" applyFont="0" applyFill="0" applyBorder="0" applyAlignment="0" applyProtection="0"/>
    <xf numFmtId="0" fontId="39" fillId="5" borderId="19">
      <alignment horizontal="center" vertical="center"/>
    </xf>
    <xf numFmtId="0" fontId="11" fillId="0" borderId="20" applyNumberFormat="0" applyAlignment="0">
      <alignment vertical="center"/>
    </xf>
    <xf numFmtId="0" fontId="45" fillId="6" borderId="21" applyNumberFormat="0" applyFont="0" applyBorder="0" applyAlignment="0" applyProtection="0"/>
    <xf numFmtId="9" fontId="11"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1" fillId="0" borderId="0"/>
    <xf numFmtId="0" fontId="6" fillId="0" borderId="0"/>
    <xf numFmtId="0" fontId="5" fillId="0" borderId="0"/>
    <xf numFmtId="0" fontId="4" fillId="0" borderId="0"/>
    <xf numFmtId="0" fontId="6" fillId="0" borderId="0"/>
    <xf numFmtId="0" fontId="6" fillId="0" borderId="0"/>
    <xf numFmtId="0" fontId="11" fillId="0" borderId="0"/>
    <xf numFmtId="0" fontId="11" fillId="0" borderId="0"/>
    <xf numFmtId="0" fontId="3" fillId="0" borderId="0"/>
    <xf numFmtId="43" fontId="3" fillId="0" borderId="0" applyFont="0" applyFill="0" applyBorder="0" applyAlignment="0" applyProtection="0"/>
    <xf numFmtId="0" fontId="40" fillId="0" borderId="0"/>
    <xf numFmtId="0" fontId="2" fillId="0" borderId="0"/>
    <xf numFmtId="0" fontId="11" fillId="0" borderId="0"/>
    <xf numFmtId="0" fontId="1" fillId="0" borderId="0"/>
    <xf numFmtId="0" fontId="2" fillId="0" borderId="0"/>
    <xf numFmtId="0" fontId="2" fillId="0" borderId="0"/>
    <xf numFmtId="9" fontId="2" fillId="0" borderId="0" applyFont="0" applyFill="0" applyBorder="0" applyAlignment="0" applyProtection="0"/>
    <xf numFmtId="0" fontId="39" fillId="5" borderId="25">
      <alignment horizontal="center" vertical="center"/>
    </xf>
    <xf numFmtId="43" fontId="2" fillId="0" borderId="0" applyFont="0" applyFill="0" applyBorder="0" applyAlignment="0" applyProtection="0"/>
    <xf numFmtId="0" fontId="11" fillId="0" borderId="0"/>
    <xf numFmtId="0" fontId="2" fillId="0" borderId="0"/>
    <xf numFmtId="0" fontId="39" fillId="5" borderId="25">
      <alignment horizontal="center" vertical="center"/>
    </xf>
    <xf numFmtId="43" fontId="2" fillId="0" borderId="0" applyFont="0" applyFill="0" applyBorder="0" applyAlignment="0" applyProtection="0"/>
    <xf numFmtId="43" fontId="94" fillId="0" borderId="0" applyFont="0" applyFill="0" applyBorder="0" applyAlignment="0" applyProtection="0"/>
  </cellStyleXfs>
  <cellXfs count="1481">
    <xf numFmtId="0" fontId="0" fillId="0" borderId="0" xfId="0"/>
    <xf numFmtId="0" fontId="19" fillId="0" borderId="0" xfId="0" applyFont="1"/>
    <xf numFmtId="0" fontId="18" fillId="0" borderId="0" xfId="0" applyFont="1"/>
    <xf numFmtId="0" fontId="21" fillId="0" borderId="0" xfId="0" applyFont="1"/>
    <xf numFmtId="0" fontId="19" fillId="0" borderId="0" xfId="7" applyFont="1"/>
    <xf numFmtId="0" fontId="14" fillId="0" borderId="0" xfId="0" applyFont="1"/>
    <xf numFmtId="0" fontId="14" fillId="0" borderId="0" xfId="0" applyFont="1" applyAlignment="1">
      <alignment horizontal="left"/>
    </xf>
    <xf numFmtId="0" fontId="18" fillId="0" borderId="0" xfId="7" applyFont="1"/>
    <xf numFmtId="0" fontId="14" fillId="0" borderId="0" xfId="7" applyFont="1"/>
    <xf numFmtId="10" fontId="19" fillId="0" borderId="0" xfId="3" applyNumberFormat="1" applyFont="1" applyAlignment="1">
      <alignment horizontal="center"/>
    </xf>
    <xf numFmtId="0" fontId="19" fillId="0" borderId="0" xfId="2" applyFont="1" applyAlignment="1">
      <alignment horizontal="center"/>
    </xf>
    <xf numFmtId="0" fontId="18" fillId="0" borderId="0" xfId="2" applyFont="1" applyAlignment="1">
      <alignment horizontal="left"/>
    </xf>
    <xf numFmtId="0" fontId="19" fillId="0" borderId="0" xfId="0" applyFont="1" applyAlignment="1">
      <alignment horizontal="center"/>
    </xf>
    <xf numFmtId="0" fontId="19" fillId="0" borderId="0" xfId="2" applyFont="1" applyAlignment="1">
      <alignment horizontal="left"/>
    </xf>
    <xf numFmtId="0" fontId="19" fillId="0" borderId="0" xfId="5" applyFont="1" applyAlignment="1">
      <alignment horizontal="left"/>
    </xf>
    <xf numFmtId="0" fontId="21" fillId="0" borderId="0" xfId="7" applyFont="1"/>
    <xf numFmtId="0" fontId="19" fillId="2" borderId="0" xfId="7" applyFont="1" applyFill="1"/>
    <xf numFmtId="0" fontId="21" fillId="0" borderId="0" xfId="7" applyFont="1" applyAlignment="1">
      <alignment horizontal="left"/>
    </xf>
    <xf numFmtId="164" fontId="19" fillId="0" borderId="0" xfId="7" applyNumberFormat="1" applyFont="1" applyAlignment="1">
      <alignment horizontal="center"/>
    </xf>
    <xf numFmtId="0" fontId="19" fillId="0" borderId="0" xfId="0" applyFont="1" applyAlignment="1">
      <alignment horizontal="left"/>
    </xf>
    <xf numFmtId="164" fontId="18" fillId="0" borderId="0" xfId="0" applyNumberFormat="1" applyFont="1"/>
    <xf numFmtId="164" fontId="18" fillId="0" borderId="0" xfId="0" applyNumberFormat="1" applyFont="1" applyAlignment="1">
      <alignment horizontal="center"/>
    </xf>
    <xf numFmtId="0" fontId="14" fillId="0" borderId="0" xfId="4" applyFont="1" applyAlignment="1">
      <alignment vertical="center"/>
    </xf>
    <xf numFmtId="0" fontId="14" fillId="0" borderId="0" xfId="4" applyFont="1" applyAlignment="1">
      <alignment horizontal="center" vertical="center"/>
    </xf>
    <xf numFmtId="164" fontId="14" fillId="0" borderId="0" xfId="4" applyNumberFormat="1" applyFont="1" applyAlignment="1">
      <alignment vertical="center"/>
    </xf>
    <xf numFmtId="0" fontId="14" fillId="0" borderId="0" xfId="4" applyFont="1" applyAlignment="1">
      <alignment horizontal="left" vertical="center"/>
    </xf>
    <xf numFmtId="172" fontId="14" fillId="0" borderId="0" xfId="4" applyNumberFormat="1" applyFont="1" applyAlignment="1">
      <alignment horizontal="center" vertical="center"/>
    </xf>
    <xf numFmtId="165" fontId="14" fillId="0" borderId="0" xfId="4" applyNumberFormat="1" applyFont="1" applyAlignment="1">
      <alignment horizontal="left" vertical="center"/>
    </xf>
    <xf numFmtId="0" fontId="14" fillId="0" borderId="0" xfId="4" applyFont="1" applyAlignment="1">
      <alignment horizontal="left" vertical="center" indent="1"/>
    </xf>
    <xf numFmtId="0" fontId="14" fillId="0" borderId="0" xfId="4" applyFont="1" applyAlignment="1">
      <alignment horizontal="left" vertical="center" wrapText="1"/>
    </xf>
    <xf numFmtId="0" fontId="18" fillId="0" borderId="0" xfId="4" applyFont="1" applyAlignment="1">
      <alignment vertical="center"/>
    </xf>
    <xf numFmtId="0" fontId="18" fillId="0" borderId="0" xfId="4" applyFont="1" applyAlignment="1">
      <alignment horizontal="left" vertical="center"/>
    </xf>
    <xf numFmtId="0" fontId="19" fillId="0" borderId="0" xfId="4" applyFont="1" applyAlignment="1">
      <alignment vertical="center"/>
    </xf>
    <xf numFmtId="0" fontId="18" fillId="0" borderId="0" xfId="4" applyFont="1" applyAlignment="1">
      <alignment horizontal="center" vertical="center"/>
    </xf>
    <xf numFmtId="0" fontId="19" fillId="0" borderId="0" xfId="4" applyFont="1" applyAlignment="1">
      <alignment horizontal="center" vertical="center"/>
    </xf>
    <xf numFmtId="164" fontId="19" fillId="0" borderId="0" xfId="4" applyNumberFormat="1" applyFont="1" applyAlignment="1">
      <alignment vertical="center"/>
    </xf>
    <xf numFmtId="0" fontId="19" fillId="0" borderId="0" xfId="4" applyFont="1" applyAlignment="1">
      <alignment horizontal="left" vertical="center"/>
    </xf>
    <xf numFmtId="172" fontId="19" fillId="0" borderId="0" xfId="4" applyNumberFormat="1" applyFont="1" applyAlignment="1">
      <alignment horizontal="center" vertical="center"/>
    </xf>
    <xf numFmtId="0" fontId="19" fillId="0" borderId="0" xfId="4" applyFont="1" applyAlignment="1">
      <alignment vertical="center" wrapText="1"/>
    </xf>
    <xf numFmtId="0" fontId="21" fillId="0" borderId="0" xfId="4" applyFont="1" applyAlignment="1">
      <alignment horizontal="left" vertical="center"/>
    </xf>
    <xf numFmtId="164" fontId="19" fillId="0" borderId="0" xfId="4" applyNumberFormat="1" applyFont="1" applyAlignment="1">
      <alignment horizontal="center" vertical="center"/>
    </xf>
    <xf numFmtId="166" fontId="19" fillId="0" borderId="0" xfId="4" quotePrefix="1" applyNumberFormat="1" applyFont="1" applyAlignment="1">
      <alignment horizontal="center" vertical="center"/>
    </xf>
    <xf numFmtId="172" fontId="18" fillId="0" borderId="0" xfId="4" applyNumberFormat="1" applyFont="1" applyAlignment="1">
      <alignment horizontal="center" vertical="center"/>
    </xf>
    <xf numFmtId="164" fontId="21" fillId="0" borderId="0" xfId="4" applyNumberFormat="1" applyFont="1" applyAlignment="1">
      <alignment horizontal="center" vertical="center"/>
    </xf>
    <xf numFmtId="166" fontId="18" fillId="0" borderId="0" xfId="4" applyNumberFormat="1" applyFont="1" applyAlignment="1">
      <alignment horizontal="center" vertical="center"/>
    </xf>
    <xf numFmtId="164" fontId="18" fillId="0" borderId="0" xfId="4" applyNumberFormat="1" applyFont="1" applyAlignment="1">
      <alignment horizontal="center" vertical="center"/>
    </xf>
    <xf numFmtId="0" fontId="18" fillId="0" borderId="2" xfId="4" applyFont="1" applyBorder="1" applyAlignment="1">
      <alignment horizontal="left" vertical="center"/>
    </xf>
    <xf numFmtId="0" fontId="18" fillId="0" borderId="2" xfId="4" applyFont="1" applyBorder="1" applyAlignment="1">
      <alignment horizontal="center" vertical="center"/>
    </xf>
    <xf numFmtId="0" fontId="18" fillId="0" borderId="2" xfId="4" applyFont="1" applyBorder="1" applyAlignment="1">
      <alignment vertical="center" wrapText="1"/>
    </xf>
    <xf numFmtId="165" fontId="19" fillId="0" borderId="0" xfId="4" applyNumberFormat="1" applyFont="1" applyAlignment="1">
      <alignment horizontal="left" vertical="center"/>
    </xf>
    <xf numFmtId="0" fontId="19" fillId="0" borderId="0" xfId="4" applyFont="1" applyAlignment="1">
      <alignment horizontal="left" vertical="center" indent="1"/>
    </xf>
    <xf numFmtId="39" fontId="19" fillId="0" borderId="0" xfId="4" applyNumberFormat="1" applyFont="1" applyAlignment="1">
      <alignment horizontal="center" vertical="center"/>
    </xf>
    <xf numFmtId="170" fontId="19" fillId="0" borderId="0" xfId="4" applyNumberFormat="1" applyFont="1" applyAlignment="1">
      <alignment vertical="center"/>
    </xf>
    <xf numFmtId="0" fontId="19" fillId="0" borderId="0" xfId="4" applyFont="1" applyAlignment="1">
      <alignment horizontal="left" vertical="center" wrapText="1"/>
    </xf>
    <xf numFmtId="0" fontId="19" fillId="0" borderId="0" xfId="0" applyFont="1" applyAlignment="1">
      <alignment horizontal="left" vertical="center" wrapText="1"/>
    </xf>
    <xf numFmtId="165" fontId="19" fillId="0" borderId="0" xfId="4" applyNumberFormat="1" applyFont="1" applyAlignment="1">
      <alignment horizontal="center" vertical="center"/>
    </xf>
    <xf numFmtId="0" fontId="20" fillId="0" borderId="0" xfId="4" applyFont="1" applyAlignment="1">
      <alignment horizontal="center" vertical="center"/>
    </xf>
    <xf numFmtId="0" fontId="19" fillId="0" borderId="0" xfId="4" applyFont="1"/>
    <xf numFmtId="164" fontId="24" fillId="0" borderId="0" xfId="4" applyNumberFormat="1" applyFont="1" applyAlignment="1">
      <alignment vertical="center"/>
    </xf>
    <xf numFmtId="0" fontId="19" fillId="0" borderId="0" xfId="0" applyFont="1" applyAlignment="1">
      <alignment horizontal="left" indent="1"/>
    </xf>
    <xf numFmtId="0" fontId="19" fillId="0" borderId="0" xfId="0" applyFont="1" applyAlignment="1">
      <alignment horizontal="left" vertical="center"/>
    </xf>
    <xf numFmtId="0" fontId="18" fillId="0" borderId="2" xfId="0" applyFont="1" applyBorder="1" applyAlignment="1">
      <alignment horizontal="left" vertical="center"/>
    </xf>
    <xf numFmtId="0" fontId="21" fillId="0" borderId="0" xfId="0" applyFont="1" applyAlignment="1">
      <alignment horizontal="left"/>
    </xf>
    <xf numFmtId="0" fontId="18" fillId="0" borderId="0" xfId="0" applyFont="1" applyAlignment="1">
      <alignment horizontal="right"/>
    </xf>
    <xf numFmtId="165" fontId="19" fillId="0" borderId="0" xfId="0" applyNumberFormat="1" applyFont="1" applyAlignment="1">
      <alignment horizontal="left"/>
    </xf>
    <xf numFmtId="0" fontId="18" fillId="0" borderId="0" xfId="0" applyFont="1" applyAlignment="1">
      <alignment horizontal="left"/>
    </xf>
    <xf numFmtId="0" fontId="18" fillId="0" borderId="0" xfId="0" applyFont="1" applyAlignment="1">
      <alignment horizontal="left" indent="1"/>
    </xf>
    <xf numFmtId="0" fontId="19" fillId="0" borderId="0" xfId="0" applyFont="1" applyAlignment="1">
      <alignment horizontal="right"/>
    </xf>
    <xf numFmtId="0" fontId="19" fillId="0" borderId="0" xfId="0" quotePrefix="1" applyFont="1" applyAlignment="1">
      <alignment horizontal="right"/>
    </xf>
    <xf numFmtId="0" fontId="15" fillId="0" borderId="0" xfId="0" applyFont="1" applyAlignment="1">
      <alignment horizontal="center"/>
    </xf>
    <xf numFmtId="0" fontId="18" fillId="2" borderId="0" xfId="0" applyFont="1" applyFill="1" applyAlignment="1">
      <alignment horizontal="center"/>
    </xf>
    <xf numFmtId="0" fontId="21" fillId="2" borderId="0" xfId="0" applyFont="1" applyFill="1" applyAlignment="1">
      <alignment horizontal="center"/>
    </xf>
    <xf numFmtId="0" fontId="15" fillId="3" borderId="0" xfId="0" applyFont="1" applyFill="1" applyAlignment="1">
      <alignment horizontal="center"/>
    </xf>
    <xf numFmtId="164" fontId="18" fillId="0" borderId="2" xfId="4" applyNumberFormat="1" applyFont="1" applyBorder="1" applyAlignment="1">
      <alignment horizontal="center" vertical="center"/>
    </xf>
    <xf numFmtId="43" fontId="19" fillId="0" borderId="0" xfId="4" applyNumberFormat="1" applyFont="1" applyAlignment="1">
      <alignment vertical="center"/>
    </xf>
    <xf numFmtId="43" fontId="14" fillId="0" borderId="0" xfId="4" applyNumberFormat="1" applyFont="1" applyAlignment="1">
      <alignment vertical="center"/>
    </xf>
    <xf numFmtId="39" fontId="14" fillId="0" borderId="0" xfId="4" applyNumberFormat="1" applyFont="1" applyAlignment="1">
      <alignment horizontal="center" vertical="center"/>
    </xf>
    <xf numFmtId="164" fontId="19" fillId="0" borderId="0" xfId="0" applyNumberFormat="1" applyFont="1"/>
    <xf numFmtId="9" fontId="14" fillId="0" borderId="0" xfId="3" applyFont="1" applyFill="1"/>
    <xf numFmtId="164" fontId="19" fillId="0" borderId="0" xfId="3" applyNumberFormat="1" applyFont="1" applyFill="1" applyAlignment="1">
      <alignment horizontal="center"/>
    </xf>
    <xf numFmtId="164" fontId="19" fillId="0" borderId="0" xfId="3" applyNumberFormat="1" applyFont="1" applyFill="1"/>
    <xf numFmtId="43" fontId="19" fillId="0" borderId="0" xfId="8" applyFont="1" applyFill="1" applyAlignment="1">
      <alignment horizontal="center"/>
    </xf>
    <xf numFmtId="0" fontId="19" fillId="0" borderId="0" xfId="2" applyFont="1"/>
    <xf numFmtId="164" fontId="18" fillId="0" borderId="0" xfId="3" applyNumberFormat="1" applyFont="1" applyFill="1" applyAlignment="1">
      <alignment horizontal="center"/>
    </xf>
    <xf numFmtId="0" fontId="19" fillId="0" borderId="0" xfId="8" applyNumberFormat="1" applyFont="1" applyFill="1" applyAlignment="1">
      <alignment horizontal="left" indent="2"/>
    </xf>
    <xf numFmtId="39" fontId="19" fillId="0" borderId="0" xfId="8" applyNumberFormat="1" applyFont="1" applyFill="1" applyAlignment="1">
      <alignment horizontal="center"/>
    </xf>
    <xf numFmtId="164" fontId="18" fillId="0" borderId="7" xfId="3" applyNumberFormat="1" applyFont="1" applyFill="1" applyBorder="1"/>
    <xf numFmtId="1" fontId="18" fillId="0" borderId="7" xfId="8" applyNumberFormat="1" applyFont="1" applyFill="1" applyBorder="1" applyAlignment="1">
      <alignment horizontal="center"/>
    </xf>
    <xf numFmtId="39" fontId="18" fillId="0" borderId="7" xfId="8" applyNumberFormat="1" applyFont="1" applyFill="1" applyBorder="1" applyAlignment="1">
      <alignment horizontal="center"/>
    </xf>
    <xf numFmtId="164" fontId="14" fillId="0" borderId="0" xfId="3" applyNumberFormat="1" applyFont="1" applyFill="1"/>
    <xf numFmtId="10" fontId="19" fillId="0" borderId="0" xfId="1" applyNumberFormat="1" applyFont="1" applyFill="1"/>
    <xf numFmtId="0" fontId="34" fillId="0" borderId="0" xfId="7" applyFont="1" applyAlignment="1">
      <alignment horizontal="left"/>
    </xf>
    <xf numFmtId="0" fontId="34" fillId="0" borderId="0" xfId="0" applyFont="1"/>
    <xf numFmtId="1" fontId="19" fillId="0" borderId="0" xfId="0" applyNumberFormat="1" applyFont="1"/>
    <xf numFmtId="172" fontId="19" fillId="0" borderId="0" xfId="0" applyNumberFormat="1" applyFont="1" applyAlignment="1">
      <alignment horizontal="center" vertical="center"/>
    </xf>
    <xf numFmtId="0" fontId="21" fillId="0" borderId="0" xfId="0" applyFont="1" applyAlignment="1">
      <alignment horizontal="right"/>
    </xf>
    <xf numFmtId="165" fontId="30" fillId="0" borderId="0" xfId="0" applyNumberFormat="1" applyFont="1" applyAlignment="1">
      <alignment horizontal="center" vertical="center"/>
    </xf>
    <xf numFmtId="39" fontId="20" fillId="0" borderId="0" xfId="4" applyNumberFormat="1" applyFont="1" applyAlignment="1">
      <alignment horizontal="center" vertical="center"/>
    </xf>
    <xf numFmtId="10" fontId="19" fillId="0" borderId="0" xfId="2808" applyNumberFormat="1" applyFont="1" applyFill="1" applyAlignment="1">
      <alignment horizontal="right"/>
    </xf>
    <xf numFmtId="10" fontId="19" fillId="0" borderId="0" xfId="2808" applyNumberFormat="1" applyFont="1" applyFill="1"/>
    <xf numFmtId="164" fontId="14" fillId="0" borderId="0" xfId="37" applyNumberFormat="1" applyFont="1" applyFill="1" applyAlignment="1">
      <alignment horizontal="left"/>
    </xf>
    <xf numFmtId="10" fontId="14" fillId="0" borderId="0" xfId="37" applyNumberFormat="1" applyFont="1" applyFill="1" applyAlignment="1">
      <alignment horizontal="center"/>
    </xf>
    <xf numFmtId="10" fontId="14" fillId="0" borderId="0" xfId="3" applyNumberFormat="1" applyFont="1" applyFill="1" applyAlignment="1">
      <alignment horizontal="center"/>
    </xf>
    <xf numFmtId="10" fontId="23" fillId="0" borderId="0" xfId="3" applyNumberFormat="1" applyFont="1" applyFill="1" applyAlignment="1">
      <alignment horizontal="center"/>
    </xf>
    <xf numFmtId="10" fontId="14" fillId="0" borderId="0" xfId="3" applyNumberFormat="1" applyFont="1" applyFill="1"/>
    <xf numFmtId="43" fontId="14" fillId="0" borderId="0" xfId="8" applyFont="1" applyFill="1" applyAlignment="1">
      <alignment horizontal="center"/>
    </xf>
    <xf numFmtId="39" fontId="14" fillId="0" borderId="0" xfId="8" applyNumberFormat="1" applyFont="1" applyFill="1" applyAlignment="1">
      <alignment horizontal="center"/>
    </xf>
    <xf numFmtId="0" fontId="14" fillId="0" borderId="0" xfId="2" applyFont="1"/>
    <xf numFmtId="0" fontId="52" fillId="0" borderId="0" xfId="0" applyFont="1" applyAlignment="1">
      <alignment vertical="center" wrapText="1"/>
    </xf>
    <xf numFmtId="0" fontId="24" fillId="7" borderId="0" xfId="4" applyFont="1" applyFill="1" applyAlignment="1">
      <alignment horizontal="left" vertical="center"/>
    </xf>
    <xf numFmtId="0" fontId="19" fillId="7" borderId="0" xfId="4" applyFont="1" applyFill="1" applyAlignment="1">
      <alignment vertical="center"/>
    </xf>
    <xf numFmtId="0" fontId="14" fillId="0" borderId="0" xfId="13" applyFont="1"/>
    <xf numFmtId="10" fontId="19" fillId="0" borderId="0" xfId="0" applyNumberFormat="1" applyFont="1"/>
    <xf numFmtId="0" fontId="21" fillId="0" borderId="0" xfId="0" applyFont="1" applyAlignment="1">
      <alignment horizontal="center"/>
    </xf>
    <xf numFmtId="10" fontId="19" fillId="0" borderId="0" xfId="7" applyNumberFormat="1" applyFont="1"/>
    <xf numFmtId="10" fontId="18" fillId="0" borderId="0" xfId="7" applyNumberFormat="1" applyFont="1"/>
    <xf numFmtId="0" fontId="21" fillId="0" borderId="0" xfId="7" applyFont="1" applyAlignment="1">
      <alignment horizontal="center"/>
    </xf>
    <xf numFmtId="0" fontId="14" fillId="0" borderId="0" xfId="13" applyFont="1" applyAlignment="1">
      <alignment horizontal="right"/>
    </xf>
    <xf numFmtId="0" fontId="21" fillId="0" borderId="0" xfId="2" applyFont="1" applyAlignment="1">
      <alignment horizontal="left"/>
    </xf>
    <xf numFmtId="0" fontId="34" fillId="0" borderId="0" xfId="0" applyFont="1" applyAlignment="1">
      <alignment vertical="center" wrapText="1"/>
    </xf>
    <xf numFmtId="0" fontId="24" fillId="7" borderId="0" xfId="4" applyFont="1" applyFill="1" applyAlignment="1">
      <alignment horizontal="center" vertical="center"/>
    </xf>
    <xf numFmtId="0" fontId="18" fillId="0" borderId="0" xfId="2" applyFont="1"/>
    <xf numFmtId="0" fontId="18" fillId="0" borderId="0" xfId="2" applyFont="1" applyAlignment="1">
      <alignment horizontal="center"/>
    </xf>
    <xf numFmtId="0" fontId="21" fillId="0" borderId="0" xfId="2" applyFont="1" applyAlignment="1">
      <alignment horizontal="center"/>
    </xf>
    <xf numFmtId="0" fontId="20" fillId="0" borderId="0" xfId="7" applyFont="1"/>
    <xf numFmtId="0" fontId="19" fillId="0" borderId="2" xfId="7" applyFont="1" applyBorder="1"/>
    <xf numFmtId="10" fontId="14" fillId="0" borderId="0" xfId="7" applyNumberFormat="1" applyFont="1"/>
    <xf numFmtId="10" fontId="19" fillId="0" borderId="0" xfId="7" applyNumberFormat="1" applyFont="1" applyAlignment="1">
      <alignment horizontal="center"/>
    </xf>
    <xf numFmtId="1" fontId="19" fillId="0" borderId="0" xfId="2" applyNumberFormat="1" applyFont="1" applyAlignment="1">
      <alignment horizontal="center"/>
    </xf>
    <xf numFmtId="43" fontId="18" fillId="0" borderId="2" xfId="7" applyNumberFormat="1" applyFont="1" applyBorder="1" applyAlignment="1">
      <alignment horizontal="center"/>
    </xf>
    <xf numFmtId="0" fontId="18" fillId="0" borderId="2" xfId="7" applyFont="1" applyBorder="1" applyAlignment="1">
      <alignment horizontal="right"/>
    </xf>
    <xf numFmtId="43" fontId="19" fillId="0" borderId="0" xfId="7" applyNumberFormat="1" applyFont="1"/>
    <xf numFmtId="10" fontId="15" fillId="0" borderId="0" xfId="2808" applyNumberFormat="1" applyFont="1" applyFill="1" applyAlignment="1">
      <alignment horizontal="center"/>
    </xf>
    <xf numFmtId="185" fontId="15" fillId="0" borderId="0" xfId="2808" applyNumberFormat="1" applyFont="1" applyFill="1" applyAlignment="1">
      <alignment horizontal="center"/>
    </xf>
    <xf numFmtId="166" fontId="15" fillId="0" borderId="0" xfId="8" applyNumberFormat="1" applyFont="1" applyFill="1" applyAlignment="1">
      <alignment horizontal="right"/>
    </xf>
    <xf numFmtId="9" fontId="15" fillId="0" borderId="0" xfId="3" applyFont="1" applyFill="1" applyAlignment="1">
      <alignment horizontal="center"/>
    </xf>
    <xf numFmtId="9" fontId="15" fillId="0" borderId="0" xfId="3" applyFont="1" applyFill="1"/>
    <xf numFmtId="0" fontId="19" fillId="0" borderId="0" xfId="0" quotePrefix="1" applyFont="1" applyAlignment="1">
      <alignment horizontal="center"/>
    </xf>
    <xf numFmtId="0" fontId="26" fillId="0" borderId="0" xfId="0" applyFont="1" applyAlignment="1" applyProtection="1">
      <alignment horizontal="left"/>
      <protection locked="0"/>
    </xf>
    <xf numFmtId="0" fontId="18" fillId="0" borderId="2" xfId="0" applyFont="1" applyBorder="1" applyAlignment="1">
      <alignment horizontal="left"/>
    </xf>
    <xf numFmtId="43" fontId="19" fillId="0" borderId="0" xfId="0" applyNumberFormat="1" applyFont="1"/>
    <xf numFmtId="0" fontId="19" fillId="0" borderId="0" xfId="0" applyFont="1" applyAlignment="1">
      <alignment horizontal="left" indent="2"/>
    </xf>
    <xf numFmtId="39" fontId="19" fillId="0" borderId="0" xfId="0" applyNumberFormat="1" applyFont="1" applyAlignment="1">
      <alignment horizontal="center"/>
    </xf>
    <xf numFmtId="170" fontId="19" fillId="0" borderId="0" xfId="0" applyNumberFormat="1" applyFont="1"/>
    <xf numFmtId="0" fontId="18" fillId="0" borderId="4" xfId="0" applyFont="1" applyBorder="1" applyAlignment="1">
      <alignment horizontal="left" indent="1"/>
    </xf>
    <xf numFmtId="0" fontId="19" fillId="0" borderId="4" xfId="0" applyFont="1" applyBorder="1" applyAlignment="1">
      <alignment horizontal="left"/>
    </xf>
    <xf numFmtId="39" fontId="18" fillId="0" borderId="4" xfId="0" applyNumberFormat="1" applyFont="1" applyBorder="1" applyAlignment="1">
      <alignment horizontal="center"/>
    </xf>
    <xf numFmtId="170" fontId="18" fillId="0" borderId="4" xfId="0" applyNumberFormat="1" applyFont="1" applyBorder="1"/>
    <xf numFmtId="0" fontId="20" fillId="0" borderId="0" xfId="0" applyFont="1"/>
    <xf numFmtId="0" fontId="19" fillId="0" borderId="0" xfId="10" applyFont="1"/>
    <xf numFmtId="0" fontId="31" fillId="0" borderId="0" xfId="21" applyFont="1" applyAlignment="1">
      <alignment horizontal="center"/>
    </xf>
    <xf numFmtId="0" fontId="19" fillId="0" borderId="0" xfId="21" applyFont="1"/>
    <xf numFmtId="0" fontId="19" fillId="0" borderId="0" xfId="2" quotePrefix="1" applyFont="1" applyAlignment="1">
      <alignment horizontal="center"/>
    </xf>
    <xf numFmtId="43" fontId="19" fillId="0" borderId="0" xfId="8" applyFont="1" applyFill="1"/>
    <xf numFmtId="0" fontId="19" fillId="0" borderId="0" xfId="0" applyFont="1" applyAlignment="1">
      <alignment horizontal="center" vertical="center"/>
    </xf>
    <xf numFmtId="0" fontId="19" fillId="0" borderId="2" xfId="0" applyFont="1" applyBorder="1" applyAlignment="1">
      <alignment horizontal="center"/>
    </xf>
    <xf numFmtId="0" fontId="19" fillId="0" borderId="2" xfId="0" applyFont="1" applyBorder="1" applyAlignment="1">
      <alignment horizontal="left" indent="1"/>
    </xf>
    <xf numFmtId="178" fontId="19" fillId="0" borderId="0" xfId="7" applyNumberFormat="1" applyFont="1"/>
    <xf numFmtId="0" fontId="18" fillId="0" borderId="0" xfId="7" quotePrefix="1" applyFont="1" applyAlignment="1">
      <alignment horizontal="center"/>
    </xf>
    <xf numFmtId="10" fontId="19" fillId="0" borderId="0" xfId="7" applyNumberFormat="1" applyFont="1" applyAlignment="1">
      <alignment horizontal="left" vertical="top" wrapText="1"/>
    </xf>
    <xf numFmtId="10" fontId="20" fillId="0" borderId="0" xfId="0" applyNumberFormat="1" applyFont="1"/>
    <xf numFmtId="10" fontId="18" fillId="0" borderId="0" xfId="0" applyNumberFormat="1" applyFont="1"/>
    <xf numFmtId="0" fontId="19" fillId="0" borderId="0" xfId="7" applyFont="1" applyAlignment="1">
      <alignment horizontal="left"/>
    </xf>
    <xf numFmtId="0" fontId="14" fillId="0" borderId="0" xfId="5" applyFont="1" applyAlignment="1">
      <alignment horizontal="left" vertical="center"/>
    </xf>
    <xf numFmtId="0" fontId="14" fillId="0" borderId="0" xfId="5" applyFont="1" applyAlignment="1">
      <alignment horizontal="left"/>
    </xf>
    <xf numFmtId="164" fontId="14" fillId="0" borderId="0" xfId="0" applyNumberFormat="1" applyFont="1"/>
    <xf numFmtId="8" fontId="19" fillId="0" borderId="0" xfId="9" applyNumberFormat="1" applyFont="1" applyFill="1" applyAlignment="1">
      <alignment horizontal="right"/>
    </xf>
    <xf numFmtId="8" fontId="19" fillId="0" borderId="2" xfId="9" applyNumberFormat="1" applyFont="1" applyFill="1" applyBorder="1" applyAlignment="1">
      <alignment horizontal="right"/>
    </xf>
    <xf numFmtId="164" fontId="19" fillId="0" borderId="0" xfId="7" applyNumberFormat="1" applyFont="1" applyAlignment="1">
      <alignment horizontal="right"/>
    </xf>
    <xf numFmtId="166" fontId="19" fillId="0" borderId="0" xfId="8" applyNumberFormat="1" applyFont="1" applyFill="1" applyAlignment="1">
      <alignment horizontal="right"/>
    </xf>
    <xf numFmtId="44" fontId="19" fillId="0" borderId="0" xfId="7" applyNumberFormat="1" applyFont="1"/>
    <xf numFmtId="164" fontId="19" fillId="0" borderId="0" xfId="7" applyNumberFormat="1" applyFont="1"/>
    <xf numFmtId="0" fontId="14" fillId="0" borderId="0" xfId="0" applyFont="1" applyAlignment="1">
      <alignment horizontal="center"/>
    </xf>
    <xf numFmtId="0" fontId="14" fillId="0" borderId="0" xfId="0" applyFont="1" applyAlignment="1">
      <alignment horizontal="left" indent="1"/>
    </xf>
    <xf numFmtId="164" fontId="14" fillId="0" borderId="0" xfId="0" applyNumberFormat="1" applyFont="1" applyAlignment="1">
      <alignment horizontal="center"/>
    </xf>
    <xf numFmtId="0" fontId="18" fillId="0" borderId="0" xfId="0" applyFont="1" applyAlignment="1">
      <alignment horizontal="center"/>
    </xf>
    <xf numFmtId="166" fontId="19" fillId="0" borderId="0" xfId="4" applyNumberFormat="1" applyFont="1" applyAlignment="1">
      <alignment horizontal="center" vertical="center"/>
    </xf>
    <xf numFmtId="164" fontId="18" fillId="0" borderId="2" xfId="0" applyNumberFormat="1" applyFont="1" applyBorder="1" applyAlignment="1">
      <alignment horizontal="center"/>
    </xf>
    <xf numFmtId="164" fontId="18" fillId="0" borderId="2" xfId="3" applyNumberFormat="1" applyFont="1" applyFill="1" applyBorder="1" applyAlignment="1">
      <alignment horizontal="center"/>
    </xf>
    <xf numFmtId="164" fontId="19" fillId="0" borderId="0" xfId="0" applyNumberFormat="1" applyFont="1" applyAlignment="1">
      <alignment horizontal="center"/>
    </xf>
    <xf numFmtId="0" fontId="19" fillId="0" borderId="0" xfId="7" applyFont="1" applyAlignment="1">
      <alignment horizontal="center"/>
    </xf>
    <xf numFmtId="0" fontId="18" fillId="0" borderId="2" xfId="7" applyFont="1" applyBorder="1" applyAlignment="1">
      <alignment horizontal="center"/>
    </xf>
    <xf numFmtId="0" fontId="18" fillId="0" borderId="2" xfId="0" applyFont="1" applyBorder="1" applyAlignment="1">
      <alignment horizontal="center"/>
    </xf>
    <xf numFmtId="0" fontId="14" fillId="0" borderId="0" xfId="7" applyFont="1" applyAlignment="1">
      <alignment horizontal="left"/>
    </xf>
    <xf numFmtId="0" fontId="19" fillId="8" borderId="0" xfId="0" applyFont="1" applyFill="1" applyAlignment="1">
      <alignment horizontal="left" vertical="center" wrapText="1"/>
    </xf>
    <xf numFmtId="39" fontId="19" fillId="0" borderId="0" xfId="35" applyNumberFormat="1" applyFont="1" applyAlignment="1">
      <alignment horizontal="center" vertical="center"/>
    </xf>
    <xf numFmtId="0" fontId="18" fillId="0" borderId="2" xfId="7" applyFont="1" applyBorder="1" applyAlignment="1">
      <alignment horizontal="center" wrapText="1"/>
    </xf>
    <xf numFmtId="0" fontId="19" fillId="0" borderId="0" xfId="7" applyFont="1" applyAlignment="1">
      <alignment horizontal="right"/>
    </xf>
    <xf numFmtId="0" fontId="18" fillId="0" borderId="0" xfId="7" applyFont="1" applyAlignment="1">
      <alignment horizontal="right"/>
    </xf>
    <xf numFmtId="0" fontId="18" fillId="4" borderId="2" xfId="7" applyFont="1" applyFill="1" applyBorder="1"/>
    <xf numFmtId="0" fontId="19" fillId="4" borderId="2" xfId="7" applyFont="1" applyFill="1" applyBorder="1"/>
    <xf numFmtId="0" fontId="18" fillId="4" borderId="2" xfId="7" applyFont="1" applyFill="1" applyBorder="1" applyAlignment="1">
      <alignment horizontal="center"/>
    </xf>
    <xf numFmtId="164" fontId="18" fillId="0" borderId="0" xfId="7" applyNumberFormat="1" applyFont="1"/>
    <xf numFmtId="164" fontId="19" fillId="0" borderId="0" xfId="3" applyNumberFormat="1" applyFont="1" applyFill="1" applyAlignment="1">
      <alignment horizontal="right"/>
    </xf>
    <xf numFmtId="0" fontId="21" fillId="0" borderId="5" xfId="0" applyFont="1" applyBorder="1"/>
    <xf numFmtId="0" fontId="19" fillId="0" borderId="5" xfId="0" applyFont="1" applyBorder="1"/>
    <xf numFmtId="0" fontId="19" fillId="0" borderId="5" xfId="0" applyFont="1" applyBorder="1" applyAlignment="1">
      <alignment horizontal="right"/>
    </xf>
    <xf numFmtId="0" fontId="18" fillId="2" borderId="0" xfId="7" applyFont="1" applyFill="1"/>
    <xf numFmtId="164" fontId="18" fillId="0" borderId="0" xfId="3" applyNumberFormat="1" applyFont="1" applyFill="1" applyBorder="1" applyAlignment="1">
      <alignment horizontal="left"/>
    </xf>
    <xf numFmtId="0" fontId="18" fillId="0" borderId="0" xfId="0" quotePrefix="1" applyFont="1" applyAlignment="1">
      <alignment horizontal="center"/>
    </xf>
    <xf numFmtId="164" fontId="18" fillId="0" borderId="0" xfId="3" applyNumberFormat="1" applyFont="1" applyFill="1" applyBorder="1" applyAlignment="1">
      <alignment horizontal="right"/>
    </xf>
    <xf numFmtId="164" fontId="18" fillId="0" borderId="0" xfId="3" applyNumberFormat="1" applyFont="1" applyFill="1" applyBorder="1" applyAlignment="1"/>
    <xf numFmtId="164" fontId="19" fillId="0" borderId="0" xfId="3" applyNumberFormat="1" applyFont="1" applyFill="1" applyBorder="1" applyAlignment="1">
      <alignment horizontal="right"/>
    </xf>
    <xf numFmtId="164" fontId="18" fillId="0" borderId="0" xfId="7" applyNumberFormat="1" applyFont="1" applyAlignment="1">
      <alignment horizontal="center"/>
    </xf>
    <xf numFmtId="164" fontId="18" fillId="0" borderId="0" xfId="3" applyNumberFormat="1" applyFont="1" applyFill="1" applyBorder="1" applyAlignment="1">
      <alignment horizontal="center"/>
    </xf>
    <xf numFmtId="10" fontId="18" fillId="0" borderId="0" xfId="3" applyNumberFormat="1" applyFont="1" applyFill="1" applyBorder="1" applyAlignment="1">
      <alignment horizontal="center"/>
    </xf>
    <xf numFmtId="10" fontId="18" fillId="0" borderId="0" xfId="3" applyNumberFormat="1" applyFont="1" applyFill="1"/>
    <xf numFmtId="10" fontId="18" fillId="0" borderId="0" xfId="7" quotePrefix="1" applyNumberFormat="1" applyFont="1" applyAlignment="1">
      <alignment horizontal="center" vertical="center"/>
    </xf>
    <xf numFmtId="10" fontId="18" fillId="0" borderId="0" xfId="3" applyNumberFormat="1" applyFont="1" applyFill="1" applyAlignment="1">
      <alignment horizontal="right"/>
    </xf>
    <xf numFmtId="164" fontId="21" fillId="0" borderId="0" xfId="3" applyNumberFormat="1" applyFont="1" applyFill="1"/>
    <xf numFmtId="164" fontId="19" fillId="0" borderId="0" xfId="3" applyNumberFormat="1" applyFont="1" applyFill="1" applyBorder="1"/>
    <xf numFmtId="164" fontId="21" fillId="0" borderId="0" xfId="3" applyNumberFormat="1" applyFont="1" applyFill="1" applyBorder="1" applyAlignment="1">
      <alignment horizontal="center"/>
    </xf>
    <xf numFmtId="164" fontId="21" fillId="0" borderId="0" xfId="3" applyNumberFormat="1" applyFont="1" applyFill="1" applyBorder="1"/>
    <xf numFmtId="0" fontId="18" fillId="0" borderId="0" xfId="11" applyFont="1"/>
    <xf numFmtId="0" fontId="19" fillId="0" borderId="0" xfId="11" applyFont="1"/>
    <xf numFmtId="0" fontId="18" fillId="0" borderId="0" xfId="13" applyFont="1" applyAlignment="1">
      <alignment horizontal="right"/>
    </xf>
    <xf numFmtId="0" fontId="19" fillId="0" borderId="0" xfId="13" applyFont="1"/>
    <xf numFmtId="0" fontId="62" fillId="0" borderId="0" xfId="7" applyFont="1" applyAlignment="1">
      <alignment horizontal="left"/>
    </xf>
    <xf numFmtId="0" fontId="21" fillId="0" borderId="0" xfId="11" applyFont="1"/>
    <xf numFmtId="0" fontId="18" fillId="0" borderId="0" xfId="11" applyFont="1" applyAlignment="1">
      <alignment horizontal="center"/>
    </xf>
    <xf numFmtId="0" fontId="19" fillId="0" borderId="0" xfId="11" applyFont="1" applyAlignment="1">
      <alignment wrapText="1"/>
    </xf>
    <xf numFmtId="0" fontId="18" fillId="4" borderId="2" xfId="11" applyFont="1" applyFill="1" applyBorder="1" applyAlignment="1">
      <alignment wrapText="1"/>
    </xf>
    <xf numFmtId="0" fontId="18" fillId="4" borderId="2" xfId="11" applyFont="1" applyFill="1" applyBorder="1" applyAlignment="1">
      <alignment horizontal="center" wrapText="1"/>
    </xf>
    <xf numFmtId="0" fontId="18" fillId="0" borderId="0" xfId="11" applyFont="1" applyAlignment="1">
      <alignment horizontal="center" wrapText="1"/>
    </xf>
    <xf numFmtId="0" fontId="18" fillId="0" borderId="2" xfId="11" applyFont="1" applyBorder="1" applyAlignment="1">
      <alignment wrapText="1"/>
    </xf>
    <xf numFmtId="0" fontId="19" fillId="0" borderId="0" xfId="13" applyFont="1" applyAlignment="1">
      <alignment wrapText="1"/>
    </xf>
    <xf numFmtId="0" fontId="18" fillId="0" borderId="0" xfId="7" applyFont="1" applyAlignment="1">
      <alignment horizontal="center"/>
    </xf>
    <xf numFmtId="0" fontId="18" fillId="0" borderId="0" xfId="11" applyFont="1" applyAlignment="1">
      <alignment wrapText="1"/>
    </xf>
    <xf numFmtId="0" fontId="18" fillId="0" borderId="0" xfId="11" applyFont="1" applyAlignment="1">
      <alignment horizontal="left"/>
    </xf>
    <xf numFmtId="173" fontId="63" fillId="0" borderId="0" xfId="8" applyNumberFormat="1" applyFont="1" applyFill="1" applyBorder="1"/>
    <xf numFmtId="173" fontId="19" fillId="0" borderId="0" xfId="8" applyNumberFormat="1" applyFont="1" applyFill="1" applyBorder="1"/>
    <xf numFmtId="180" fontId="14" fillId="0" borderId="0" xfId="8" applyNumberFormat="1" applyFont="1" applyFill="1" applyBorder="1"/>
    <xf numFmtId="180" fontId="19" fillId="0" borderId="0" xfId="8" applyNumberFormat="1" applyFont="1" applyFill="1" applyBorder="1"/>
    <xf numFmtId="0" fontId="19" fillId="0" borderId="0" xfId="11" applyFont="1" applyAlignment="1">
      <alignment horizontal="left"/>
    </xf>
    <xf numFmtId="164" fontId="18" fillId="0" borderId="0" xfId="3" applyNumberFormat="1" applyFont="1" applyFill="1" applyAlignment="1">
      <alignment wrapText="1"/>
    </xf>
    <xf numFmtId="0" fontId="18" fillId="0" borderId="8" xfId="11" applyFont="1" applyBorder="1"/>
    <xf numFmtId="164" fontId="18" fillId="0" borderId="9" xfId="11" applyNumberFormat="1" applyFont="1" applyBorder="1" applyAlignment="1">
      <alignment horizontal="center"/>
    </xf>
    <xf numFmtId="164" fontId="18" fillId="0" borderId="10" xfId="11" applyNumberFormat="1" applyFont="1" applyBorder="1" applyAlignment="1">
      <alignment horizontal="center"/>
    </xf>
    <xf numFmtId="164" fontId="18" fillId="0" borderId="11" xfId="3" applyNumberFormat="1" applyFont="1" applyFill="1" applyBorder="1"/>
    <xf numFmtId="164" fontId="18" fillId="0" borderId="0" xfId="3" applyNumberFormat="1" applyFont="1" applyFill="1" applyBorder="1"/>
    <xf numFmtId="164" fontId="18" fillId="0" borderId="12" xfId="3" applyNumberFormat="1" applyFont="1" applyFill="1" applyBorder="1" applyAlignment="1">
      <alignment horizontal="center"/>
    </xf>
    <xf numFmtId="164" fontId="18" fillId="0" borderId="13" xfId="3" applyNumberFormat="1" applyFont="1" applyFill="1" applyBorder="1"/>
    <xf numFmtId="164" fontId="18" fillId="0" borderId="3" xfId="3" applyNumberFormat="1" applyFont="1" applyFill="1" applyBorder="1" applyAlignment="1">
      <alignment horizontal="center"/>
    </xf>
    <xf numFmtId="164" fontId="18" fillId="0" borderId="14" xfId="3" applyNumberFormat="1" applyFont="1" applyFill="1" applyBorder="1" applyAlignment="1">
      <alignment horizontal="center"/>
    </xf>
    <xf numFmtId="0" fontId="14" fillId="0" borderId="0" xfId="11" quotePrefix="1" applyFont="1"/>
    <xf numFmtId="0" fontId="19" fillId="4" borderId="0" xfId="7" applyFont="1" applyFill="1"/>
    <xf numFmtId="0" fontId="18" fillId="4" borderId="0" xfId="7" applyFont="1" applyFill="1" applyAlignment="1">
      <alignment horizontal="center"/>
    </xf>
    <xf numFmtId="176" fontId="18" fillId="0" borderId="0" xfId="14" applyFont="1" applyAlignment="1">
      <alignment horizontal="center"/>
    </xf>
    <xf numFmtId="179" fontId="63" fillId="0" borderId="0" xfId="3" applyNumberFormat="1" applyFont="1" applyFill="1" applyAlignment="1">
      <alignment horizontal="right"/>
    </xf>
    <xf numFmtId="179" fontId="63" fillId="0" borderId="0" xfId="7" applyNumberFormat="1" applyFont="1" applyAlignment="1">
      <alignment horizontal="right"/>
    </xf>
    <xf numFmtId="179" fontId="19" fillId="0" borderId="0" xfId="7" applyNumberFormat="1" applyFont="1"/>
    <xf numFmtId="179" fontId="64" fillId="0" borderId="0" xfId="3" applyNumberFormat="1" applyFont="1" applyFill="1" applyAlignment="1">
      <alignment horizontal="right"/>
    </xf>
    <xf numFmtId="179" fontId="64" fillId="0" borderId="0" xfId="7" applyNumberFormat="1" applyFont="1" applyAlignment="1">
      <alignment horizontal="right"/>
    </xf>
    <xf numFmtId="37" fontId="19" fillId="0" borderId="0" xfId="3" applyNumberFormat="1" applyFont="1" applyFill="1" applyAlignment="1">
      <alignment horizontal="center"/>
    </xf>
    <xf numFmtId="0" fontId="18" fillId="0" borderId="8" xfId="2" applyFont="1" applyBorder="1" applyAlignment="1">
      <alignment horizontal="left"/>
    </xf>
    <xf numFmtId="176" fontId="18" fillId="0" borderId="9" xfId="14" applyFont="1" applyBorder="1" applyAlignment="1">
      <alignment horizontal="center"/>
    </xf>
    <xf numFmtId="164" fontId="18" fillId="0" borderId="9" xfId="7" applyNumberFormat="1" applyFont="1" applyBorder="1" applyAlignment="1">
      <alignment horizontal="center"/>
    </xf>
    <xf numFmtId="164" fontId="18" fillId="0" borderId="10" xfId="7" applyNumberFormat="1" applyFont="1" applyBorder="1" applyAlignment="1">
      <alignment horizontal="center"/>
    </xf>
    <xf numFmtId="0" fontId="18" fillId="0" borderId="11" xfId="2" applyFont="1" applyBorder="1" applyAlignment="1">
      <alignment horizontal="left"/>
    </xf>
    <xf numFmtId="164" fontId="18" fillId="0" borderId="12" xfId="7" applyNumberFormat="1" applyFont="1" applyBorder="1" applyAlignment="1">
      <alignment horizontal="center"/>
    </xf>
    <xf numFmtId="0" fontId="18" fillId="0" borderId="13" xfId="7" applyFont="1" applyBorder="1"/>
    <xf numFmtId="0" fontId="19" fillId="0" borderId="3" xfId="7" applyFont="1" applyBorder="1"/>
    <xf numFmtId="164" fontId="18" fillId="0" borderId="3" xfId="7" applyNumberFormat="1" applyFont="1" applyBorder="1" applyAlignment="1">
      <alignment horizontal="center"/>
    </xf>
    <xf numFmtId="164" fontId="18" fillId="0" borderId="14" xfId="7" applyNumberFormat="1" applyFont="1" applyBorder="1" applyAlignment="1">
      <alignment horizontal="center"/>
    </xf>
    <xf numFmtId="0" fontId="14" fillId="0" borderId="0" xfId="7" applyFont="1" applyAlignment="1">
      <alignment horizontal="center"/>
    </xf>
    <xf numFmtId="164" fontId="14" fillId="0" borderId="0" xfId="7" applyNumberFormat="1" applyFont="1"/>
    <xf numFmtId="0" fontId="14" fillId="0" borderId="0" xfId="7" applyFont="1" applyAlignment="1">
      <alignment vertical="center"/>
    </xf>
    <xf numFmtId="0" fontId="14" fillId="0" borderId="0" xfId="7" applyFont="1" applyAlignment="1">
      <alignment vertical="center" wrapText="1"/>
    </xf>
    <xf numFmtId="0" fontId="18" fillId="0" borderId="0" xfId="13" applyFont="1" applyAlignment="1">
      <alignment horizontal="left"/>
    </xf>
    <xf numFmtId="43" fontId="19" fillId="0" borderId="0" xfId="8" applyFont="1" applyFill="1" applyBorder="1"/>
    <xf numFmtId="0" fontId="34" fillId="0" borderId="0" xfId="13" applyFont="1"/>
    <xf numFmtId="0" fontId="21" fillId="0" borderId="0" xfId="13" applyFont="1" applyAlignment="1">
      <alignment horizontal="left"/>
    </xf>
    <xf numFmtId="0" fontId="65" fillId="0" borderId="0" xfId="7" applyFont="1"/>
    <xf numFmtId="43" fontId="65" fillId="0" borderId="0" xfId="8" applyFont="1" applyFill="1" applyBorder="1"/>
    <xf numFmtId="43" fontId="19" fillId="0" borderId="0" xfId="8" applyFont="1" applyFill="1" applyBorder="1" applyAlignment="1">
      <alignment horizontal="center"/>
    </xf>
    <xf numFmtId="0" fontId="18" fillId="4" borderId="2" xfId="7" applyFont="1" applyFill="1" applyBorder="1" applyAlignment="1">
      <alignment horizontal="left"/>
    </xf>
    <xf numFmtId="164" fontId="18" fillId="4" borderId="2" xfId="3" applyNumberFormat="1" applyFont="1" applyFill="1" applyBorder="1" applyAlignment="1" applyProtection="1">
      <alignment horizontal="center"/>
    </xf>
    <xf numFmtId="164" fontId="18" fillId="4" borderId="2" xfId="8" applyNumberFormat="1" applyFont="1" applyFill="1" applyBorder="1"/>
    <xf numFmtId="0" fontId="18" fillId="0" borderId="0" xfId="7" applyFont="1" applyAlignment="1">
      <alignment horizontal="left"/>
    </xf>
    <xf numFmtId="164" fontId="19" fillId="0" borderId="0" xfId="8" applyNumberFormat="1" applyFont="1" applyFill="1" applyBorder="1" applyAlignment="1">
      <alignment horizontal="right"/>
    </xf>
    <xf numFmtId="0" fontId="18" fillId="0" borderId="0" xfId="13" applyFont="1"/>
    <xf numFmtId="164" fontId="19" fillId="0" borderId="0" xfId="13" applyNumberFormat="1" applyFont="1" applyAlignment="1">
      <alignment horizontal="right"/>
    </xf>
    <xf numFmtId="164" fontId="19" fillId="0" borderId="0" xfId="8" applyNumberFormat="1" applyFont="1" applyFill="1" applyBorder="1"/>
    <xf numFmtId="164" fontId="18" fillId="0" borderId="0" xfId="8" applyNumberFormat="1" applyFont="1" applyFill="1" applyBorder="1"/>
    <xf numFmtId="0" fontId="19" fillId="0" borderId="0" xfId="7" quotePrefix="1" applyFont="1" applyAlignment="1">
      <alignment horizontal="left"/>
    </xf>
    <xf numFmtId="0" fontId="14" fillId="0" borderId="0" xfId="7" applyFont="1" applyAlignment="1">
      <alignment horizontal="left" vertical="top" wrapText="1"/>
    </xf>
    <xf numFmtId="0" fontId="14" fillId="0" borderId="0" xfId="7" applyFont="1" applyAlignment="1">
      <alignment wrapText="1"/>
    </xf>
    <xf numFmtId="164" fontId="14" fillId="0" borderId="0" xfId="7" applyNumberFormat="1" applyFont="1" applyAlignment="1">
      <alignment wrapText="1"/>
    </xf>
    <xf numFmtId="0" fontId="14" fillId="0" borderId="0" xfId="13" applyFont="1" applyAlignment="1">
      <alignment horizontal="left" vertical="top"/>
    </xf>
    <xf numFmtId="10" fontId="19" fillId="0" borderId="0" xfId="3" applyNumberFormat="1" applyFont="1" applyFill="1" applyBorder="1"/>
    <xf numFmtId="10" fontId="18" fillId="0" borderId="0" xfId="3" applyNumberFormat="1" applyFont="1" applyFill="1" applyBorder="1"/>
    <xf numFmtId="164" fontId="19" fillId="0" borderId="0" xfId="3" applyNumberFormat="1" applyFont="1" applyFill="1" applyBorder="1" applyAlignment="1">
      <alignment horizontal="center" vertical="center"/>
    </xf>
    <xf numFmtId="164" fontId="19" fillId="0" borderId="0" xfId="3" applyNumberFormat="1" applyFont="1" applyFill="1" applyBorder="1" applyAlignment="1">
      <alignment horizontal="center"/>
    </xf>
    <xf numFmtId="10" fontId="18" fillId="4" borderId="2" xfId="7" applyNumberFormat="1" applyFont="1" applyFill="1" applyBorder="1" applyAlignment="1">
      <alignment horizontal="center"/>
    </xf>
    <xf numFmtId="10" fontId="19" fillId="0" borderId="0" xfId="3" applyNumberFormat="1" applyFont="1" applyFill="1" applyBorder="1" applyAlignment="1" applyProtection="1">
      <alignment horizontal="center"/>
    </xf>
    <xf numFmtId="0" fontId="15" fillId="0" borderId="0" xfId="7" applyFont="1"/>
    <xf numFmtId="0" fontId="14" fillId="0" borderId="0" xfId="7" applyFont="1" applyAlignment="1">
      <alignment horizontal="left" vertical="top"/>
    </xf>
    <xf numFmtId="0" fontId="14" fillId="0" borderId="0" xfId="5" applyFont="1"/>
    <xf numFmtId="0" fontId="32" fillId="0" borderId="0" xfId="7" applyFont="1"/>
    <xf numFmtId="9" fontId="19" fillId="0" borderId="0" xfId="3" applyFont="1" applyFill="1" applyBorder="1"/>
    <xf numFmtId="9" fontId="19" fillId="0" borderId="0" xfId="3" applyFont="1" applyFill="1" applyBorder="1" applyAlignment="1">
      <alignment horizontal="center"/>
    </xf>
    <xf numFmtId="16" fontId="18" fillId="4" borderId="2" xfId="7" applyNumberFormat="1" applyFont="1" applyFill="1" applyBorder="1"/>
    <xf numFmtId="44" fontId="19" fillId="0" borderId="0" xfId="9" applyFont="1" applyFill="1" applyBorder="1" applyAlignment="1" applyProtection="1">
      <alignment horizontal="left"/>
    </xf>
    <xf numFmtId="165" fontId="19" fillId="0" borderId="0" xfId="7" applyNumberFormat="1" applyFont="1" applyAlignment="1">
      <alignment horizontal="left"/>
    </xf>
    <xf numFmtId="2" fontId="19" fillId="0" borderId="0" xfId="7" applyNumberFormat="1" applyFont="1"/>
    <xf numFmtId="164" fontId="18" fillId="0" borderId="4" xfId="3" applyNumberFormat="1" applyFont="1" applyFill="1" applyBorder="1" applyAlignment="1">
      <alignment horizontal="center"/>
    </xf>
    <xf numFmtId="14" fontId="14" fillId="0" borderId="0" xfId="7" applyNumberFormat="1" applyFont="1"/>
    <xf numFmtId="9" fontId="14" fillId="0" borderId="0" xfId="3" applyFont="1" applyFill="1" applyBorder="1"/>
    <xf numFmtId="0" fontId="19" fillId="4" borderId="0" xfId="0" applyFont="1" applyFill="1"/>
    <xf numFmtId="164" fontId="18" fillId="4" borderId="0" xfId="0" applyNumberFormat="1" applyFont="1" applyFill="1" applyAlignment="1">
      <alignment horizontal="center"/>
    </xf>
    <xf numFmtId="0" fontId="19" fillId="4" borderId="0" xfId="0" applyFont="1" applyFill="1" applyAlignment="1">
      <alignment horizontal="center"/>
    </xf>
    <xf numFmtId="0" fontId="18" fillId="4" borderId="0" xfId="0" applyFont="1" applyFill="1" applyAlignment="1">
      <alignment horizontal="center"/>
    </xf>
    <xf numFmtId="0" fontId="18" fillId="4" borderId="2" xfId="0" applyFont="1" applyFill="1" applyBorder="1" applyAlignment="1">
      <alignment horizontal="left"/>
    </xf>
    <xf numFmtId="164" fontId="18" fillId="4" borderId="2" xfId="0" applyNumberFormat="1" applyFont="1" applyFill="1" applyBorder="1" applyAlignment="1">
      <alignment horizontal="center"/>
    </xf>
    <xf numFmtId="0" fontId="18" fillId="4" borderId="2" xfId="0" applyFont="1" applyFill="1" applyBorder="1" applyAlignment="1">
      <alignment horizontal="center"/>
    </xf>
    <xf numFmtId="0" fontId="19" fillId="4" borderId="2" xfId="0" applyFont="1" applyFill="1" applyBorder="1"/>
    <xf numFmtId="164" fontId="19" fillId="0" borderId="0" xfId="0" applyNumberFormat="1" applyFont="1" applyAlignment="1">
      <alignment horizontal="right"/>
    </xf>
    <xf numFmtId="167" fontId="19" fillId="0" borderId="0" xfId="0" applyNumberFormat="1" applyFont="1" applyAlignment="1">
      <alignment horizontal="center"/>
    </xf>
    <xf numFmtId="164" fontId="18" fillId="0" borderId="2" xfId="0" applyNumberFormat="1" applyFont="1" applyBorder="1" applyAlignment="1">
      <alignment horizontal="right"/>
    </xf>
    <xf numFmtId="10" fontId="18" fillId="0" borderId="2" xfId="0" quotePrefix="1" applyNumberFormat="1" applyFont="1" applyBorder="1" applyAlignment="1">
      <alignment horizontal="right"/>
    </xf>
    <xf numFmtId="164" fontId="18" fillId="0" borderId="0" xfId="0" applyNumberFormat="1" applyFont="1" applyAlignment="1">
      <alignment horizontal="right"/>
    </xf>
    <xf numFmtId="10" fontId="18" fillId="0" borderId="0" xfId="0" quotePrefix="1" applyNumberFormat="1" applyFont="1" applyAlignment="1">
      <alignment horizontal="center"/>
    </xf>
    <xf numFmtId="0" fontId="14" fillId="0" borderId="0" xfId="0" applyFont="1" applyAlignment="1">
      <alignment horizontal="left" vertical="top"/>
    </xf>
    <xf numFmtId="0" fontId="23" fillId="0" borderId="0" xfId="0" applyFont="1" applyAlignment="1">
      <alignment horizontal="left"/>
    </xf>
    <xf numFmtId="164" fontId="19" fillId="0" borderId="0" xfId="1" applyNumberFormat="1" applyFont="1" applyAlignment="1">
      <alignment horizontal="center"/>
    </xf>
    <xf numFmtId="10" fontId="19" fillId="0" borderId="0" xfId="3" applyNumberFormat="1" applyFont="1"/>
    <xf numFmtId="10" fontId="19" fillId="0" borderId="0" xfId="8" applyNumberFormat="1" applyFont="1"/>
    <xf numFmtId="0" fontId="66" fillId="0" borderId="1" xfId="0" applyFont="1" applyBorder="1" applyAlignment="1">
      <alignment horizontal="center"/>
    </xf>
    <xf numFmtId="0" fontId="19" fillId="0" borderId="3" xfId="0" applyFont="1" applyBorder="1"/>
    <xf numFmtId="11" fontId="19" fillId="0" borderId="0" xfId="0" applyNumberFormat="1" applyFont="1"/>
    <xf numFmtId="11" fontId="19" fillId="0" borderId="3" xfId="0" applyNumberFormat="1" applyFont="1" applyBorder="1"/>
    <xf numFmtId="0" fontId="18" fillId="0" borderId="0" xfId="4" applyFont="1"/>
    <xf numFmtId="0" fontId="19" fillId="0" borderId="0" xfId="12" applyFont="1"/>
    <xf numFmtId="0" fontId="18" fillId="0" borderId="0" xfId="12" applyFont="1" applyAlignment="1">
      <alignment horizontal="right"/>
    </xf>
    <xf numFmtId="0" fontId="18" fillId="0" borderId="0" xfId="12" applyFont="1"/>
    <xf numFmtId="0" fontId="21" fillId="0" borderId="0" xfId="4" applyFont="1"/>
    <xf numFmtId="0" fontId="20" fillId="0" borderId="0" xfId="4" applyFont="1"/>
    <xf numFmtId="0" fontId="19" fillId="0" borderId="0" xfId="12" applyFont="1" applyAlignment="1">
      <alignment horizontal="center"/>
    </xf>
    <xf numFmtId="0" fontId="18" fillId="4" borderId="0" xfId="12" applyFont="1" applyFill="1" applyAlignment="1">
      <alignment horizontal="center"/>
    </xf>
    <xf numFmtId="0" fontId="18" fillId="4" borderId="0" xfId="12" applyFont="1" applyFill="1"/>
    <xf numFmtId="0" fontId="19" fillId="4" borderId="0" xfId="12" applyFont="1" applyFill="1"/>
    <xf numFmtId="0" fontId="18" fillId="4" borderId="6" xfId="12" applyFont="1" applyFill="1" applyBorder="1" applyAlignment="1">
      <alignment horizontal="center"/>
    </xf>
    <xf numFmtId="0" fontId="18" fillId="4" borderId="6" xfId="12" applyFont="1" applyFill="1" applyBorder="1"/>
    <xf numFmtId="0" fontId="19" fillId="4" borderId="6" xfId="12" applyFont="1" applyFill="1" applyBorder="1"/>
    <xf numFmtId="10" fontId="19" fillId="0" borderId="0" xfId="12" applyNumberFormat="1" applyFont="1" applyAlignment="1">
      <alignment horizontal="right"/>
    </xf>
    <xf numFmtId="0" fontId="14" fillId="0" borderId="0" xfId="12" applyFont="1" applyAlignment="1">
      <alignment horizontal="left" wrapText="1"/>
    </xf>
    <xf numFmtId="10" fontId="20" fillId="0" borderId="0" xfId="12" applyNumberFormat="1" applyFont="1" applyAlignment="1">
      <alignment horizontal="right"/>
    </xf>
    <xf numFmtId="10" fontId="18" fillId="0" borderId="0" xfId="12" applyNumberFormat="1" applyFont="1" applyAlignment="1">
      <alignment horizontal="right"/>
    </xf>
    <xf numFmtId="10" fontId="18" fillId="0" borderId="0" xfId="12" applyNumberFormat="1" applyFont="1"/>
    <xf numFmtId="10" fontId="19" fillId="0" borderId="0" xfId="12" applyNumberFormat="1" applyFont="1" applyAlignment="1">
      <alignment horizontal="center"/>
    </xf>
    <xf numFmtId="10" fontId="19" fillId="0" borderId="0" xfId="12" applyNumberFormat="1" applyFont="1"/>
    <xf numFmtId="0" fontId="14" fillId="0" borderId="0" xfId="12" applyFont="1"/>
    <xf numFmtId="0" fontId="14" fillId="0" borderId="0" xfId="12" applyFont="1" applyAlignment="1">
      <alignment vertical="top"/>
    </xf>
    <xf numFmtId="0" fontId="14" fillId="0" borderId="0" xfId="12" applyFont="1" applyAlignment="1">
      <alignment horizontal="center"/>
    </xf>
    <xf numFmtId="10" fontId="14" fillId="0" borderId="0" xfId="12" applyNumberFormat="1" applyFont="1" applyAlignment="1">
      <alignment horizontal="center"/>
    </xf>
    <xf numFmtId="10" fontId="14" fillId="0" borderId="0" xfId="12" applyNumberFormat="1" applyFont="1"/>
    <xf numFmtId="10" fontId="19" fillId="0" borderId="0" xfId="1" applyNumberFormat="1" applyFont="1"/>
    <xf numFmtId="0" fontId="18" fillId="0" borderId="0" xfId="4" applyFont="1" applyAlignment="1">
      <alignment horizontal="right"/>
    </xf>
    <xf numFmtId="0" fontId="21" fillId="4" borderId="0" xfId="4" applyFont="1" applyFill="1"/>
    <xf numFmtId="0" fontId="19" fillId="4" borderId="0" xfId="4" applyFont="1" applyFill="1"/>
    <xf numFmtId="0" fontId="19" fillId="0" borderId="0" xfId="12" applyFont="1" applyAlignment="1">
      <alignment horizontal="left"/>
    </xf>
    <xf numFmtId="0" fontId="19" fillId="0" borderId="0" xfId="12" quotePrefix="1" applyFont="1" applyAlignment="1">
      <alignment horizontal="left"/>
    </xf>
    <xf numFmtId="10" fontId="20" fillId="0" borderId="0" xfId="12" applyNumberFormat="1" applyFont="1"/>
    <xf numFmtId="167" fontId="20" fillId="0" borderId="0" xfId="12" applyNumberFormat="1" applyFont="1"/>
    <xf numFmtId="0" fontId="18" fillId="0" borderId="0" xfId="12" applyFont="1" applyAlignment="1">
      <alignment horizontal="left"/>
    </xf>
    <xf numFmtId="0" fontId="67" fillId="0" borderId="0" xfId="12" applyFont="1"/>
    <xf numFmtId="10" fontId="67" fillId="0" borderId="0" xfId="12" applyNumberFormat="1" applyFont="1"/>
    <xf numFmtId="10" fontId="19" fillId="0" borderId="0" xfId="4" applyNumberFormat="1" applyFont="1"/>
    <xf numFmtId="10" fontId="19" fillId="0" borderId="2" xfId="4" applyNumberFormat="1" applyFont="1" applyBorder="1"/>
    <xf numFmtId="10" fontId="18" fillId="0" borderId="0" xfId="4" applyNumberFormat="1" applyFont="1"/>
    <xf numFmtId="0" fontId="14" fillId="0" borderId="0" xfId="4" applyFont="1"/>
    <xf numFmtId="2" fontId="19" fillId="0" borderId="0" xfId="0" applyNumberFormat="1" applyFont="1" applyAlignment="1">
      <alignment horizontal="center"/>
    </xf>
    <xf numFmtId="2" fontId="18" fillId="4" borderId="0" xfId="0" applyNumberFormat="1" applyFont="1" applyFill="1" applyAlignment="1">
      <alignment horizontal="center"/>
    </xf>
    <xf numFmtId="0" fontId="19" fillId="4" borderId="0" xfId="0" applyFont="1" applyFill="1" applyAlignment="1">
      <alignment horizontal="right"/>
    </xf>
    <xf numFmtId="0" fontId="18" fillId="4" borderId="2" xfId="0" applyFont="1" applyFill="1" applyBorder="1"/>
    <xf numFmtId="2" fontId="18" fillId="4" borderId="2" xfId="0" applyNumberFormat="1" applyFont="1" applyFill="1" applyBorder="1" applyAlignment="1">
      <alignment horizontal="center"/>
    </xf>
    <xf numFmtId="5" fontId="19" fillId="0" borderId="0" xfId="0" applyNumberFormat="1" applyFont="1" applyAlignment="1">
      <alignment horizontal="right"/>
    </xf>
    <xf numFmtId="10" fontId="19" fillId="0" borderId="0" xfId="0" applyNumberFormat="1" applyFont="1" applyAlignment="1">
      <alignment horizontal="center"/>
    </xf>
    <xf numFmtId="164" fontId="19" fillId="0" borderId="2" xfId="0" applyNumberFormat="1" applyFont="1" applyBorder="1" applyAlignment="1">
      <alignment horizontal="center"/>
    </xf>
    <xf numFmtId="164" fontId="19" fillId="0" borderId="2" xfId="0" applyNumberFormat="1" applyFont="1" applyBorder="1" applyAlignment="1">
      <alignment horizontal="right"/>
    </xf>
    <xf numFmtId="2" fontId="18" fillId="0" borderId="0" xfId="0" applyNumberFormat="1" applyFont="1" applyAlignment="1">
      <alignment horizontal="center"/>
    </xf>
    <xf numFmtId="10" fontId="18" fillId="0" borderId="0" xfId="0" applyNumberFormat="1" applyFont="1" applyAlignment="1">
      <alignment horizontal="center"/>
    </xf>
    <xf numFmtId="0" fontId="14" fillId="0" borderId="0" xfId="0" applyFont="1" applyAlignment="1">
      <alignment horizontal="left" vertical="top" wrapText="1"/>
    </xf>
    <xf numFmtId="0" fontId="14" fillId="0" borderId="0" xfId="0" applyFont="1" applyAlignment="1">
      <alignment horizontal="right"/>
    </xf>
    <xf numFmtId="0" fontId="14" fillId="0" borderId="0" xfId="0" quotePrefix="1" applyFont="1" applyAlignment="1">
      <alignment horizontal="left"/>
    </xf>
    <xf numFmtId="0" fontId="23" fillId="0" borderId="0" xfId="0" applyFont="1" applyAlignment="1">
      <alignment horizontal="center"/>
    </xf>
    <xf numFmtId="0" fontId="23" fillId="0" borderId="0" xfId="0" applyFont="1" applyAlignment="1">
      <alignment horizontal="right"/>
    </xf>
    <xf numFmtId="2" fontId="14" fillId="0" borderId="0" xfId="0" applyNumberFormat="1" applyFont="1" applyAlignment="1">
      <alignment horizontal="center"/>
    </xf>
    <xf numFmtId="164" fontId="19" fillId="0" borderId="0" xfId="1" applyNumberFormat="1" applyFont="1" applyFill="1" applyAlignment="1">
      <alignment horizontal="center"/>
    </xf>
    <xf numFmtId="10" fontId="19" fillId="0" borderId="0" xfId="3" applyNumberFormat="1" applyFont="1" applyFill="1"/>
    <xf numFmtId="10" fontId="19" fillId="0" borderId="0" xfId="8" applyNumberFormat="1" applyFont="1" applyFill="1"/>
    <xf numFmtId="0" fontId="19" fillId="0" borderId="0" xfId="4" applyFont="1" applyAlignment="1">
      <alignment horizontal="center"/>
    </xf>
    <xf numFmtId="4" fontId="19" fillId="0" borderId="0" xfId="4" applyNumberFormat="1" applyFont="1" applyAlignment="1">
      <alignment horizontal="center"/>
    </xf>
    <xf numFmtId="4" fontId="18" fillId="0" borderId="0" xfId="4" applyNumberFormat="1" applyFont="1" applyAlignment="1">
      <alignment horizontal="right"/>
    </xf>
    <xf numFmtId="0" fontId="18" fillId="0" borderId="0" xfId="4" quotePrefix="1" applyFont="1" applyAlignment="1">
      <alignment horizontal="left"/>
    </xf>
    <xf numFmtId="0" fontId="19" fillId="0" borderId="0" xfId="4" quotePrefix="1" applyFont="1" applyAlignment="1">
      <alignment horizontal="left"/>
    </xf>
    <xf numFmtId="0" fontId="18" fillId="0" borderId="0" xfId="4" quotePrefix="1" applyFont="1" applyAlignment="1">
      <alignment horizontal="center"/>
    </xf>
    <xf numFmtId="10" fontId="19" fillId="0" borderId="0" xfId="4" applyNumberFormat="1" applyFont="1" applyAlignment="1">
      <alignment horizontal="center"/>
    </xf>
    <xf numFmtId="165" fontId="19" fillId="0" borderId="0" xfId="4" applyNumberFormat="1" applyFont="1" applyAlignment="1">
      <alignment horizontal="left"/>
    </xf>
    <xf numFmtId="0" fontId="19" fillId="4" borderId="0" xfId="4" applyFont="1" applyFill="1" applyAlignment="1">
      <alignment horizontal="center"/>
    </xf>
    <xf numFmtId="0" fontId="18" fillId="4" borderId="0" xfId="4" applyFont="1" applyFill="1"/>
    <xf numFmtId="0" fontId="18" fillId="4" borderId="0" xfId="4" applyFont="1" applyFill="1" applyAlignment="1">
      <alignment horizontal="center"/>
    </xf>
    <xf numFmtId="0" fontId="19" fillId="0" borderId="0" xfId="4" applyFont="1" applyAlignment="1">
      <alignment horizontal="left"/>
    </xf>
    <xf numFmtId="0" fontId="21" fillId="4" borderId="0" xfId="4" applyFont="1" applyFill="1" applyAlignment="1">
      <alignment horizontal="center"/>
    </xf>
    <xf numFmtId="7" fontId="19" fillId="0" borderId="0" xfId="9" applyNumberFormat="1" applyFont="1" applyAlignment="1">
      <alignment horizontal="center"/>
    </xf>
    <xf numFmtId="164" fontId="19" fillId="0" borderId="0" xfId="3" applyNumberFormat="1" applyFont="1" applyAlignment="1">
      <alignment horizontal="center"/>
    </xf>
    <xf numFmtId="167" fontId="19" fillId="0" borderId="0" xfId="4" applyNumberFormat="1" applyFont="1" applyAlignment="1">
      <alignment horizontal="center"/>
    </xf>
    <xf numFmtId="164" fontId="19" fillId="0" borderId="0" xfId="4" applyNumberFormat="1" applyFont="1" applyAlignment="1">
      <alignment horizontal="center"/>
    </xf>
    <xf numFmtId="174" fontId="19" fillId="0" borderId="0" xfId="8" applyNumberFormat="1" applyFont="1" applyAlignment="1">
      <alignment horizontal="center"/>
    </xf>
    <xf numFmtId="164" fontId="19" fillId="0" borderId="0" xfId="9" applyNumberFormat="1" applyFont="1" applyAlignment="1">
      <alignment horizontal="center"/>
    </xf>
    <xf numFmtId="5" fontId="19" fillId="0" borderId="0" xfId="9" applyNumberFormat="1" applyFont="1" applyAlignment="1">
      <alignment horizontal="right"/>
    </xf>
    <xf numFmtId="5" fontId="19" fillId="0" borderId="0" xfId="9" applyNumberFormat="1" applyFont="1" applyAlignment="1">
      <alignment horizontal="center"/>
    </xf>
    <xf numFmtId="177" fontId="19" fillId="0" borderId="0" xfId="9" applyNumberFormat="1" applyFont="1" applyAlignment="1">
      <alignment horizontal="right"/>
    </xf>
    <xf numFmtId="177" fontId="19" fillId="0" borderId="0" xfId="4" applyNumberFormat="1" applyFont="1" applyAlignment="1">
      <alignment horizontal="right"/>
    </xf>
    <xf numFmtId="175" fontId="19" fillId="0" borderId="0" xfId="4" applyNumberFormat="1" applyFont="1" applyAlignment="1">
      <alignment horizontal="right"/>
    </xf>
    <xf numFmtId="176" fontId="19" fillId="0" borderId="0" xfId="4" applyNumberFormat="1" applyFont="1" applyAlignment="1">
      <alignment horizontal="right"/>
    </xf>
    <xf numFmtId="0" fontId="14" fillId="0" borderId="0" xfId="4" applyFont="1" applyAlignment="1">
      <alignment horizontal="center"/>
    </xf>
    <xf numFmtId="0" fontId="14" fillId="0" borderId="0" xfId="4" applyFont="1" applyAlignment="1">
      <alignment horizontal="left"/>
    </xf>
    <xf numFmtId="10" fontId="14" fillId="0" borderId="0" xfId="4" applyNumberFormat="1" applyFont="1" applyAlignment="1">
      <alignment horizontal="center"/>
    </xf>
    <xf numFmtId="43" fontId="19" fillId="0" borderId="0" xfId="8" applyFont="1" applyAlignment="1">
      <alignment horizontal="center"/>
    </xf>
    <xf numFmtId="9" fontId="19" fillId="0" borderId="0" xfId="3" applyFont="1"/>
    <xf numFmtId="9" fontId="19" fillId="0" borderId="0" xfId="3" applyFont="1" applyFill="1" applyAlignment="1">
      <alignment horizontal="center"/>
    </xf>
    <xf numFmtId="43" fontId="19" fillId="4" borderId="0" xfId="8" applyFont="1" applyFill="1"/>
    <xf numFmtId="43" fontId="18" fillId="4" borderId="0" xfId="8" applyFont="1" applyFill="1"/>
    <xf numFmtId="9" fontId="19" fillId="0" borderId="0" xfId="3" applyFont="1" applyFill="1"/>
    <xf numFmtId="0" fontId="19" fillId="4" borderId="2" xfId="7" applyFont="1" applyFill="1" applyBorder="1" applyAlignment="1">
      <alignment horizontal="center"/>
    </xf>
    <xf numFmtId="164" fontId="18" fillId="4" borderId="2" xfId="3" applyNumberFormat="1" applyFont="1" applyFill="1" applyBorder="1" applyAlignment="1">
      <alignment horizontal="center"/>
    </xf>
    <xf numFmtId="164" fontId="19" fillId="0" borderId="0" xfId="8" applyNumberFormat="1" applyFont="1" applyFill="1" applyAlignment="1">
      <alignment horizontal="center"/>
    </xf>
    <xf numFmtId="164" fontId="19" fillId="0" borderId="0" xfId="8" applyNumberFormat="1" applyFont="1" applyFill="1"/>
    <xf numFmtId="0" fontId="20" fillId="0" borderId="0" xfId="7" applyFont="1" applyAlignment="1">
      <alignment horizontal="left"/>
    </xf>
    <xf numFmtId="164" fontId="19" fillId="0" borderId="0" xfId="8" applyNumberFormat="1" applyFont="1" applyAlignment="1">
      <alignment horizontal="center"/>
    </xf>
    <xf numFmtId="164" fontId="19" fillId="0" borderId="0" xfId="8" applyNumberFormat="1" applyFont="1"/>
    <xf numFmtId="164" fontId="19" fillId="0" borderId="2" xfId="8" applyNumberFormat="1" applyFont="1" applyBorder="1"/>
    <xf numFmtId="164" fontId="18" fillId="0" borderId="0" xfId="3" applyNumberFormat="1" applyFont="1"/>
    <xf numFmtId="0" fontId="18" fillId="0" borderId="0" xfId="7" applyFont="1" applyAlignment="1">
      <alignment horizontal="left" indent="1"/>
    </xf>
    <xf numFmtId="164" fontId="18" fillId="0" borderId="4" xfId="7" applyNumberFormat="1" applyFont="1" applyBorder="1" applyAlignment="1">
      <alignment horizontal="center"/>
    </xf>
    <xf numFmtId="164" fontId="18" fillId="0" borderId="0" xfId="8" applyNumberFormat="1" applyFont="1"/>
    <xf numFmtId="164" fontId="18" fillId="0" borderId="0" xfId="8" applyNumberFormat="1" applyFont="1" applyAlignment="1">
      <alignment horizontal="center"/>
    </xf>
    <xf numFmtId="0" fontId="14" fillId="0" borderId="0" xfId="7" applyFont="1" applyAlignment="1">
      <alignment vertical="top"/>
    </xf>
    <xf numFmtId="43" fontId="14" fillId="0" borderId="0" xfId="8" applyFont="1" applyAlignment="1">
      <alignment horizontal="center" vertical="top"/>
    </xf>
    <xf numFmtId="0" fontId="14" fillId="0" borderId="0" xfId="7" applyFont="1" applyAlignment="1">
      <alignment horizontal="center" vertical="top"/>
    </xf>
    <xf numFmtId="9" fontId="14" fillId="0" borderId="0" xfId="3" applyFont="1" applyAlignment="1">
      <alignment vertical="top"/>
    </xf>
    <xf numFmtId="10" fontId="19" fillId="0" borderId="0" xfId="1" applyNumberFormat="1" applyFont="1" applyAlignment="1">
      <alignment horizontal="center"/>
    </xf>
    <xf numFmtId="164" fontId="19" fillId="0" borderId="0" xfId="3" applyNumberFormat="1" applyFont="1"/>
    <xf numFmtId="164" fontId="18" fillId="0" borderId="0" xfId="3" applyNumberFormat="1" applyFont="1" applyFill="1"/>
    <xf numFmtId="164" fontId="19" fillId="0" borderId="0" xfId="3" applyNumberFormat="1" applyFont="1" applyFill="1" applyAlignment="1">
      <alignment horizontal="center" vertical="center"/>
    </xf>
    <xf numFmtId="164" fontId="21" fillId="0" borderId="0" xfId="3" applyNumberFormat="1" applyFont="1" applyFill="1" applyAlignment="1">
      <alignment horizontal="center"/>
    </xf>
    <xf numFmtId="0" fontId="16" fillId="0" borderId="0" xfId="7" applyFont="1" applyAlignment="1">
      <alignment horizontal="left"/>
    </xf>
    <xf numFmtId="164" fontId="16" fillId="0" borderId="0" xfId="3" applyNumberFormat="1" applyFont="1" applyAlignment="1">
      <alignment horizontal="center"/>
    </xf>
    <xf numFmtId="164" fontId="15" fillId="0" borderId="0" xfId="3" applyNumberFormat="1" applyFont="1" applyAlignment="1">
      <alignment horizontal="center"/>
    </xf>
    <xf numFmtId="44" fontId="19" fillId="0" borderId="0" xfId="9" applyFont="1" applyFill="1" applyAlignment="1">
      <alignment horizontal="left"/>
    </xf>
    <xf numFmtId="44" fontId="19" fillId="0" borderId="0" xfId="9" applyFont="1" applyAlignment="1">
      <alignment horizontal="left"/>
    </xf>
    <xf numFmtId="164" fontId="18" fillId="0" borderId="4" xfId="3" applyNumberFormat="1" applyFont="1" applyBorder="1" applyAlignment="1">
      <alignment horizontal="center"/>
    </xf>
    <xf numFmtId="14" fontId="14" fillId="0" borderId="0" xfId="7" applyNumberFormat="1" applyFont="1" applyAlignment="1">
      <alignment vertical="top"/>
    </xf>
    <xf numFmtId="0" fontId="14" fillId="0" borderId="0" xfId="5" applyFont="1" applyAlignment="1">
      <alignment vertical="top"/>
    </xf>
    <xf numFmtId="0" fontId="21" fillId="0" borderId="0" xfId="13" applyFont="1"/>
    <xf numFmtId="0" fontId="23" fillId="4" borderId="2" xfId="11" applyFont="1" applyFill="1" applyBorder="1" applyAlignment="1">
      <alignment wrapText="1"/>
    </xf>
    <xf numFmtId="0" fontId="23" fillId="4" borderId="2" xfId="11" applyFont="1" applyFill="1" applyBorder="1" applyAlignment="1">
      <alignment horizontal="center"/>
    </xf>
    <xf numFmtId="0" fontId="23" fillId="4" borderId="2" xfId="13" applyFont="1" applyFill="1" applyBorder="1"/>
    <xf numFmtId="0" fontId="23" fillId="0" borderId="0" xfId="11" applyFont="1" applyAlignment="1">
      <alignment horizontal="left"/>
    </xf>
    <xf numFmtId="0" fontId="23" fillId="0" borderId="0" xfId="11" applyFont="1"/>
    <xf numFmtId="0" fontId="23" fillId="0" borderId="0" xfId="11" applyFont="1" applyAlignment="1">
      <alignment horizontal="center"/>
    </xf>
    <xf numFmtId="0" fontId="14" fillId="0" borderId="0" xfId="11" applyFont="1"/>
    <xf numFmtId="0" fontId="14" fillId="0" borderId="0" xfId="11" applyFont="1" applyAlignment="1">
      <alignment horizontal="center"/>
    </xf>
    <xf numFmtId="0" fontId="14" fillId="0" borderId="0" xfId="11" applyFont="1" applyAlignment="1">
      <alignment horizontal="left"/>
    </xf>
    <xf numFmtId="0" fontId="14" fillId="0" borderId="0" xfId="11" applyFont="1" applyAlignment="1">
      <alignment vertical="center"/>
    </xf>
    <xf numFmtId="0" fontId="14" fillId="0" borderId="0" xfId="11" applyFont="1" applyAlignment="1">
      <alignment horizontal="center" vertical="center"/>
    </xf>
    <xf numFmtId="0" fontId="14" fillId="0" borderId="0" xfId="13" applyFont="1" applyAlignment="1">
      <alignment wrapText="1"/>
    </xf>
    <xf numFmtId="0" fontId="14" fillId="0" borderId="0" xfId="11" applyFont="1" applyAlignment="1">
      <alignment horizontal="left" vertical="center"/>
    </xf>
    <xf numFmtId="0" fontId="14" fillId="0" borderId="0" xfId="13" applyFont="1" applyAlignment="1">
      <alignment horizontal="left" vertical="center" wrapText="1"/>
    </xf>
    <xf numFmtId="0" fontId="19" fillId="0" borderId="0" xfId="11" applyFont="1" applyAlignment="1">
      <alignment horizontal="center"/>
    </xf>
    <xf numFmtId="0" fontId="21" fillId="0" borderId="0" xfId="11" applyFont="1" applyAlignment="1">
      <alignment horizontal="left"/>
    </xf>
    <xf numFmtId="0" fontId="65" fillId="4" borderId="0" xfId="11" applyFont="1" applyFill="1"/>
    <xf numFmtId="0" fontId="15" fillId="4" borderId="0" xfId="11" applyFont="1" applyFill="1" applyAlignment="1">
      <alignment horizontal="center"/>
    </xf>
    <xf numFmtId="0" fontId="16" fillId="4" borderId="2" xfId="11" applyFont="1" applyFill="1" applyBorder="1" applyAlignment="1">
      <alignment horizontal="center"/>
    </xf>
    <xf numFmtId="0" fontId="18" fillId="4" borderId="0" xfId="11" applyFont="1" applyFill="1"/>
    <xf numFmtId="0" fontId="16" fillId="4" borderId="0" xfId="11" applyFont="1" applyFill="1" applyAlignment="1">
      <alignment horizontal="center"/>
    </xf>
    <xf numFmtId="0" fontId="16" fillId="4" borderId="0" xfId="11" applyFont="1" applyFill="1"/>
    <xf numFmtId="0" fontId="16" fillId="4" borderId="2" xfId="11" applyFont="1" applyFill="1" applyBorder="1" applyAlignment="1">
      <alignment horizontal="center" vertical="center"/>
    </xf>
    <xf numFmtId="173" fontId="24" fillId="0" borderId="0" xfId="8" applyNumberFormat="1" applyFont="1" applyFill="1"/>
    <xf numFmtId="173" fontId="19" fillId="0" borderId="0" xfId="8" applyNumberFormat="1" applyFont="1" applyFill="1"/>
    <xf numFmtId="164" fontId="19" fillId="0" borderId="0" xfId="11" applyNumberFormat="1" applyFont="1" applyAlignment="1">
      <alignment horizontal="center"/>
    </xf>
    <xf numFmtId="0" fontId="19" fillId="0" borderId="0" xfId="2822" applyFont="1" applyAlignment="1">
      <alignment horizontal="center" vertical="center"/>
    </xf>
    <xf numFmtId="0" fontId="69" fillId="0" borderId="0" xfId="2822" applyFont="1" applyAlignment="1">
      <alignment horizontal="center" vertical="center"/>
    </xf>
    <xf numFmtId="186" fontId="19" fillId="0" borderId="0" xfId="8" applyNumberFormat="1" applyFont="1" applyFill="1"/>
    <xf numFmtId="173" fontId="24" fillId="0" borderId="0" xfId="8" applyNumberFormat="1" applyFont="1" applyFill="1" applyBorder="1"/>
    <xf numFmtId="186" fontId="19" fillId="0" borderId="0" xfId="8" applyNumberFormat="1" applyFont="1" applyFill="1" applyBorder="1"/>
    <xf numFmtId="0" fontId="15" fillId="0" borderId="23" xfId="7" applyFont="1" applyBorder="1" applyAlignment="1">
      <alignment horizontal="center"/>
    </xf>
    <xf numFmtId="0" fontId="70" fillId="0" borderId="0" xfId="11" applyFont="1" applyAlignment="1">
      <alignment horizontal="left"/>
    </xf>
    <xf numFmtId="0" fontId="14" fillId="0" borderId="0" xfId="11" quotePrefix="1" applyFont="1" applyAlignment="1">
      <alignment vertical="top"/>
    </xf>
    <xf numFmtId="0" fontId="14" fillId="0" borderId="0" xfId="11" applyFont="1" applyAlignment="1">
      <alignment wrapText="1"/>
    </xf>
    <xf numFmtId="0" fontId="15" fillId="0" borderId="0" xfId="11" applyFont="1" applyAlignment="1">
      <alignment horizontal="center"/>
    </xf>
    <xf numFmtId="0" fontId="65" fillId="0" borderId="0" xfId="7" applyFont="1" applyAlignment="1">
      <alignment horizontal="left"/>
    </xf>
    <xf numFmtId="0" fontId="15" fillId="0" borderId="0" xfId="11" applyFont="1" applyAlignment="1">
      <alignment horizontal="left"/>
    </xf>
    <xf numFmtId="0" fontId="59" fillId="4" borderId="0" xfId="11" applyFont="1" applyFill="1"/>
    <xf numFmtId="0" fontId="15" fillId="0" borderId="0" xfId="11" applyFont="1"/>
    <xf numFmtId="0" fontId="16" fillId="0" borderId="0" xfId="11" applyFont="1" applyAlignment="1">
      <alignment wrapText="1"/>
    </xf>
    <xf numFmtId="0" fontId="16" fillId="4" borderId="2" xfId="11" applyFont="1" applyFill="1" applyBorder="1" applyAlignment="1">
      <alignment wrapText="1"/>
    </xf>
    <xf numFmtId="0" fontId="16" fillId="0" borderId="0" xfId="11" applyFont="1" applyAlignment="1">
      <alignment horizontal="center"/>
    </xf>
    <xf numFmtId="0" fontId="16" fillId="0" borderId="0" xfId="11" applyFont="1" applyAlignment="1">
      <alignment horizontal="center" vertical="center"/>
    </xf>
    <xf numFmtId="0" fontId="16" fillId="0" borderId="0" xfId="11" applyFont="1" applyAlignment="1">
      <alignment horizontal="left" vertical="center"/>
    </xf>
    <xf numFmtId="0" fontId="16" fillId="0" borderId="0" xfId="11" applyFont="1" applyAlignment="1">
      <alignment horizontal="left"/>
    </xf>
    <xf numFmtId="0" fontId="71" fillId="0" borderId="0" xfId="11" applyFont="1"/>
    <xf numFmtId="0" fontId="72" fillId="0" borderId="0" xfId="2822" applyFont="1" applyAlignment="1">
      <alignment horizontal="center" vertical="center"/>
    </xf>
    <xf numFmtId="0" fontId="14" fillId="0" borderId="0" xfId="11" quotePrefix="1" applyFont="1" applyAlignment="1">
      <alignment horizontal="left" vertical="top"/>
    </xf>
    <xf numFmtId="9" fontId="19" fillId="0" borderId="0" xfId="1" applyFont="1" applyAlignment="1">
      <alignment horizontal="center"/>
    </xf>
    <xf numFmtId="17" fontId="19" fillId="0" borderId="0" xfId="7" quotePrefix="1" applyNumberFormat="1" applyFont="1" applyAlignment="1">
      <alignment horizontal="left"/>
    </xf>
    <xf numFmtId="43" fontId="19" fillId="0" borderId="2" xfId="7" applyNumberFormat="1" applyFont="1" applyBorder="1"/>
    <xf numFmtId="10" fontId="19" fillId="0" borderId="2" xfId="7" applyNumberFormat="1" applyFont="1" applyBorder="1"/>
    <xf numFmtId="0" fontId="14" fillId="0" borderId="0" xfId="35" applyFont="1" applyAlignment="1">
      <alignment horizontal="left"/>
    </xf>
    <xf numFmtId="0" fontId="58" fillId="0" borderId="0" xfId="7" applyFont="1" applyAlignment="1">
      <alignment horizontal="left"/>
    </xf>
    <xf numFmtId="0" fontId="14" fillId="0" borderId="0" xfId="35" applyFont="1"/>
    <xf numFmtId="0" fontId="57" fillId="0" borderId="0" xfId="35" applyFont="1" applyAlignment="1">
      <alignment horizontal="center"/>
    </xf>
    <xf numFmtId="0" fontId="14" fillId="0" borderId="0" xfId="35" applyFont="1" applyAlignment="1">
      <alignment horizontal="center"/>
    </xf>
    <xf numFmtId="0" fontId="14" fillId="0" borderId="2" xfId="35" applyFont="1" applyBorder="1" applyAlignment="1">
      <alignment horizontal="center"/>
    </xf>
    <xf numFmtId="0" fontId="14" fillId="0" borderId="2" xfId="35" quotePrefix="1" applyFont="1" applyBorder="1" applyAlignment="1">
      <alignment horizontal="center"/>
    </xf>
    <xf numFmtId="0" fontId="14" fillId="0" borderId="0" xfId="13" applyFont="1" applyAlignment="1">
      <alignment horizontal="center"/>
    </xf>
    <xf numFmtId="0" fontId="14" fillId="0" borderId="2" xfId="35" applyFont="1" applyBorder="1"/>
    <xf numFmtId="0" fontId="57" fillId="0" borderId="2" xfId="35" applyFont="1" applyBorder="1" applyAlignment="1">
      <alignment horizontal="center"/>
    </xf>
    <xf numFmtId="0" fontId="14" fillId="0" borderId="2" xfId="13" applyFont="1" applyBorder="1" applyAlignment="1">
      <alignment horizontal="center"/>
    </xf>
    <xf numFmtId="0" fontId="23" fillId="0" borderId="0" xfId="35" applyFont="1" applyAlignment="1">
      <alignment horizontal="center"/>
    </xf>
    <xf numFmtId="0" fontId="56" fillId="0" borderId="0" xfId="35" applyFont="1" applyAlignment="1">
      <alignment horizontal="center"/>
    </xf>
    <xf numFmtId="164" fontId="23" fillId="0" borderId="0" xfId="35" quotePrefix="1" applyNumberFormat="1" applyFont="1" applyAlignment="1">
      <alignment horizontal="center"/>
    </xf>
    <xf numFmtId="0" fontId="23" fillId="0" borderId="0" xfId="13" applyFont="1" applyAlignment="1">
      <alignment horizontal="center"/>
    </xf>
    <xf numFmtId="164" fontId="57" fillId="0" borderId="0" xfId="37" applyNumberFormat="1" applyFont="1" applyFill="1" applyAlignment="1">
      <alignment horizontal="left"/>
    </xf>
    <xf numFmtId="164" fontId="57" fillId="0" borderId="0" xfId="37" applyNumberFormat="1" applyFont="1" applyFill="1" applyAlignment="1">
      <alignment horizontal="center"/>
    </xf>
    <xf numFmtId="7" fontId="14" fillId="0" borderId="0" xfId="21" applyNumberFormat="1" applyFont="1"/>
    <xf numFmtId="7" fontId="14" fillId="0" borderId="0" xfId="21" applyNumberFormat="1" applyFont="1" applyAlignment="1">
      <alignment horizontal="center"/>
    </xf>
    <xf numFmtId="181" fontId="14" fillId="0" borderId="0" xfId="35" applyNumberFormat="1" applyFont="1" applyAlignment="1">
      <alignment horizontal="right"/>
    </xf>
    <xf numFmtId="181" fontId="57" fillId="0" borderId="0" xfId="35" applyNumberFormat="1" applyFont="1" applyAlignment="1">
      <alignment horizontal="right"/>
    </xf>
    <xf numFmtId="169" fontId="14" fillId="0" borderId="0" xfId="35" applyNumberFormat="1" applyFont="1"/>
    <xf numFmtId="171" fontId="14" fillId="0" borderId="0" xfId="35" applyNumberFormat="1" applyFont="1"/>
    <xf numFmtId="182" fontId="14" fillId="0" borderId="0" xfId="35" applyNumberFormat="1" applyFont="1" applyAlignment="1">
      <alignment horizontal="right"/>
    </xf>
    <xf numFmtId="171" fontId="14" fillId="0" borderId="0" xfId="35" applyNumberFormat="1" applyFont="1" applyAlignment="1">
      <alignment horizontal="right"/>
    </xf>
    <xf numFmtId="169" fontId="14" fillId="0" borderId="0" xfId="35" applyNumberFormat="1" applyFont="1" applyAlignment="1">
      <alignment horizontal="right"/>
    </xf>
    <xf numFmtId="10" fontId="57" fillId="0" borderId="0" xfId="37" applyNumberFormat="1" applyFont="1" applyFill="1" applyAlignment="1">
      <alignment horizontal="right"/>
    </xf>
    <xf numFmtId="0" fontId="14" fillId="0" borderId="0" xfId="21" applyFont="1"/>
    <xf numFmtId="0" fontId="14" fillId="0" borderId="0" xfId="35" applyFont="1" applyAlignment="1">
      <alignment horizontal="right"/>
    </xf>
    <xf numFmtId="10" fontId="14" fillId="0" borderId="0" xfId="35" applyNumberFormat="1" applyFont="1" applyAlignment="1">
      <alignment horizontal="center"/>
    </xf>
    <xf numFmtId="181" fontId="23" fillId="0" borderId="4" xfId="35" applyNumberFormat="1" applyFont="1" applyBorder="1"/>
    <xf numFmtId="171" fontId="23" fillId="0" borderId="4" xfId="35" applyNumberFormat="1" applyFont="1" applyBorder="1"/>
    <xf numFmtId="0" fontId="14" fillId="0" borderId="4" xfId="35" applyFont="1" applyBorder="1"/>
    <xf numFmtId="182" fontId="23" fillId="0" borderId="4" xfId="35" applyNumberFormat="1" applyFont="1" applyBorder="1"/>
    <xf numFmtId="10" fontId="23" fillId="0" borderId="4" xfId="35" applyNumberFormat="1" applyFont="1" applyBorder="1"/>
    <xf numFmtId="10" fontId="23" fillId="0" borderId="0" xfId="35" applyNumberFormat="1" applyFont="1"/>
    <xf numFmtId="0" fontId="23" fillId="0" borderId="0" xfId="35" applyFont="1" applyAlignment="1">
      <alignment horizontal="left"/>
    </xf>
    <xf numFmtId="3" fontId="23" fillId="0" borderId="0" xfId="35" applyNumberFormat="1" applyFont="1"/>
    <xf numFmtId="10" fontId="14" fillId="0" borderId="0" xfId="35" applyNumberFormat="1" applyFont="1"/>
    <xf numFmtId="10" fontId="23" fillId="0" borderId="0" xfId="35" applyNumberFormat="1" applyFont="1" applyAlignment="1">
      <alignment horizontal="center"/>
    </xf>
    <xf numFmtId="164" fontId="23" fillId="0" borderId="0" xfId="35" applyNumberFormat="1" applyFont="1"/>
    <xf numFmtId="164" fontId="23" fillId="0" borderId="0" xfId="35" applyNumberFormat="1" applyFont="1" applyAlignment="1">
      <alignment horizontal="center"/>
    </xf>
    <xf numFmtId="164" fontId="14" fillId="0" borderId="0" xfId="35" applyNumberFormat="1" applyFont="1" applyAlignment="1">
      <alignment horizontal="center"/>
    </xf>
    <xf numFmtId="3" fontId="14" fillId="0" borderId="0" xfId="35" applyNumberFormat="1" applyFont="1"/>
    <xf numFmtId="164" fontId="14" fillId="0" borderId="0" xfId="35" applyNumberFormat="1" applyFont="1"/>
    <xf numFmtId="0" fontId="14" fillId="0" borderId="0" xfId="13" applyFont="1" applyAlignment="1">
      <alignment horizontal="left"/>
    </xf>
    <xf numFmtId="169" fontId="23" fillId="0" borderId="0" xfId="35" applyNumberFormat="1" applyFont="1"/>
    <xf numFmtId="0" fontId="14" fillId="0" borderId="0" xfId="13" quotePrefix="1" applyFont="1" applyAlignment="1">
      <alignment horizontal="left"/>
    </xf>
    <xf numFmtId="0" fontId="14" fillId="0" borderId="0" xfId="6" applyFont="1"/>
    <xf numFmtId="0" fontId="18" fillId="0" borderId="2" xfId="2" applyFont="1" applyBorder="1" applyAlignment="1">
      <alignment horizontal="center"/>
    </xf>
    <xf numFmtId="14" fontId="19" fillId="0" borderId="0" xfId="0" applyNumberFormat="1" applyFont="1" applyAlignment="1">
      <alignment horizontal="left"/>
    </xf>
    <xf numFmtId="8" fontId="32" fillId="0" borderId="0" xfId="7" applyNumberFormat="1" applyFont="1"/>
    <xf numFmtId="8" fontId="19" fillId="0" borderId="0" xfId="9" applyNumberFormat="1" applyFont="1" applyFill="1" applyBorder="1" applyAlignment="1">
      <alignment horizontal="center"/>
    </xf>
    <xf numFmtId="14" fontId="19" fillId="0" borderId="0" xfId="7" applyNumberFormat="1" applyFont="1" applyAlignment="1">
      <alignment horizontal="left"/>
    </xf>
    <xf numFmtId="8" fontId="18" fillId="0" borderId="0" xfId="7" applyNumberFormat="1" applyFont="1"/>
    <xf numFmtId="0" fontId="34" fillId="0" borderId="0" xfId="0" applyFont="1" applyAlignment="1">
      <alignment horizontal="left"/>
    </xf>
    <xf numFmtId="8" fontId="19" fillId="0" borderId="0" xfId="9" applyNumberFormat="1" applyFont="1" applyFill="1" applyAlignment="1">
      <alignment horizontal="center"/>
    </xf>
    <xf numFmtId="8" fontId="19" fillId="0" borderId="0" xfId="0" applyNumberFormat="1" applyFont="1" applyAlignment="1">
      <alignment horizontal="right"/>
    </xf>
    <xf numFmtId="8" fontId="19" fillId="0" borderId="0" xfId="9" applyNumberFormat="1" applyFont="1" applyFill="1" applyBorder="1" applyAlignment="1">
      <alignment horizontal="right"/>
    </xf>
    <xf numFmtId="8" fontId="19" fillId="0" borderId="2" xfId="0" applyNumberFormat="1" applyFont="1" applyBorder="1" applyAlignment="1">
      <alignment horizontal="right"/>
    </xf>
    <xf numFmtId="14" fontId="19" fillId="0" borderId="0" xfId="0" applyNumberFormat="1" applyFont="1"/>
    <xf numFmtId="0" fontId="19" fillId="0" borderId="4" xfId="0" applyFont="1" applyBorder="1" applyAlignment="1">
      <alignment horizontal="right"/>
    </xf>
    <xf numFmtId="44" fontId="18" fillId="0" borderId="0" xfId="0" applyNumberFormat="1" applyFont="1"/>
    <xf numFmtId="14" fontId="14" fillId="0" borderId="0" xfId="0" applyNumberFormat="1" applyFont="1"/>
    <xf numFmtId="0" fontId="19" fillId="0" borderId="0" xfId="2" applyFont="1" applyAlignment="1" applyProtection="1">
      <alignment horizontal="left"/>
      <protection locked="0"/>
    </xf>
    <xf numFmtId="0" fontId="18" fillId="0" borderId="2" xfId="2" applyFont="1" applyBorder="1" applyAlignment="1">
      <alignment horizontal="left"/>
    </xf>
    <xf numFmtId="0" fontId="32" fillId="0" borderId="0" xfId="45" applyFont="1"/>
    <xf numFmtId="0" fontId="19" fillId="0" borderId="0" xfId="21" applyFont="1" applyAlignment="1">
      <alignment horizontal="left" indent="1"/>
    </xf>
    <xf numFmtId="2" fontId="19" fillId="0" borderId="0" xfId="21" applyNumberFormat="1" applyFont="1" applyAlignment="1">
      <alignment horizontal="left" indent="1"/>
    </xf>
    <xf numFmtId="0" fontId="19" fillId="0" borderId="0" xfId="45" applyFont="1"/>
    <xf numFmtId="0" fontId="19" fillId="0" borderId="0" xfId="10" applyFont="1" applyAlignment="1">
      <alignment horizontal="left"/>
    </xf>
    <xf numFmtId="0" fontId="18" fillId="0" borderId="7" xfId="2" applyFont="1" applyBorder="1" applyAlignment="1">
      <alignment horizontal="left" indent="1"/>
    </xf>
    <xf numFmtId="0" fontId="19" fillId="0" borderId="7" xfId="2" applyFont="1" applyBorder="1" applyAlignment="1">
      <alignment horizontal="left"/>
    </xf>
    <xf numFmtId="0" fontId="18" fillId="0" borderId="7" xfId="21" applyFont="1" applyBorder="1" applyAlignment="1">
      <alignment horizontal="left" indent="1"/>
    </xf>
    <xf numFmtId="0" fontId="18" fillId="0" borderId="0" xfId="22" applyFont="1" applyAlignment="1">
      <alignment horizontal="left"/>
    </xf>
    <xf numFmtId="0" fontId="18" fillId="0" borderId="0" xfId="22" applyFont="1"/>
    <xf numFmtId="1" fontId="19" fillId="0" borderId="0" xfId="2" applyNumberFormat="1" applyFont="1" applyAlignment="1">
      <alignment horizontal="left"/>
    </xf>
    <xf numFmtId="0" fontId="18" fillId="0" borderId="0" xfId="22" applyFont="1" applyAlignment="1">
      <alignment horizontal="center"/>
    </xf>
    <xf numFmtId="0" fontId="14" fillId="0" borderId="0" xfId="10" applyFont="1" applyAlignment="1">
      <alignment horizontal="left" vertical="center"/>
    </xf>
    <xf numFmtId="0" fontId="23" fillId="0" borderId="0" xfId="22" applyFont="1"/>
    <xf numFmtId="1" fontId="23" fillId="0" borderId="0" xfId="22" applyNumberFormat="1" applyFont="1"/>
    <xf numFmtId="0" fontId="14" fillId="0" borderId="0" xfId="0" applyFont="1" applyAlignment="1">
      <alignment horizontal="left" vertical="center"/>
    </xf>
    <xf numFmtId="0" fontId="14" fillId="0" borderId="0" xfId="22" applyFont="1" applyAlignment="1">
      <alignment horizontal="left" vertical="top"/>
    </xf>
    <xf numFmtId="0" fontId="15" fillId="0" borderId="0" xfId="2814" applyFont="1"/>
    <xf numFmtId="0" fontId="24" fillId="0" borderId="0" xfId="4" applyFont="1" applyAlignment="1">
      <alignment horizontal="center" vertical="center"/>
    </xf>
    <xf numFmtId="0" fontId="18" fillId="0" borderId="0" xfId="2823" applyFont="1"/>
    <xf numFmtId="2" fontId="19" fillId="0" borderId="0" xfId="8" applyNumberFormat="1" applyFont="1" applyFill="1" applyAlignment="1">
      <alignment horizontal="center"/>
    </xf>
    <xf numFmtId="2" fontId="66" fillId="0" borderId="0" xfId="8" applyNumberFormat="1" applyFont="1" applyFill="1" applyAlignment="1">
      <alignment horizontal="center"/>
    </xf>
    <xf numFmtId="0" fontId="54" fillId="0" borderId="0" xfId="2" applyFont="1" applyAlignment="1">
      <alignment horizontal="left"/>
    </xf>
    <xf numFmtId="0" fontId="66" fillId="0" borderId="0" xfId="7" applyFont="1" applyAlignment="1">
      <alignment horizontal="center"/>
    </xf>
    <xf numFmtId="2" fontId="18" fillId="4" borderId="0" xfId="8" applyNumberFormat="1" applyFont="1" applyFill="1" applyAlignment="1">
      <alignment horizontal="center"/>
    </xf>
    <xf numFmtId="2" fontId="73" fillId="4" borderId="0" xfId="8" applyNumberFormat="1" applyFont="1" applyFill="1" applyAlignment="1">
      <alignment horizontal="center"/>
    </xf>
    <xf numFmtId="0" fontId="19" fillId="4" borderId="0" xfId="7" applyFont="1" applyFill="1" applyAlignment="1">
      <alignment horizontal="right"/>
    </xf>
    <xf numFmtId="2" fontId="18" fillId="4" borderId="2" xfId="8" applyNumberFormat="1" applyFont="1" applyFill="1" applyBorder="1" applyAlignment="1">
      <alignment horizontal="center"/>
    </xf>
    <xf numFmtId="2" fontId="73" fillId="4" borderId="2" xfId="8" applyNumberFormat="1" applyFont="1" applyFill="1" applyBorder="1" applyAlignment="1">
      <alignment horizontal="center"/>
    </xf>
    <xf numFmtId="2" fontId="19" fillId="0" borderId="0" xfId="7" applyNumberFormat="1" applyFont="1" applyAlignment="1">
      <alignment horizontal="center"/>
    </xf>
    <xf numFmtId="5" fontId="19" fillId="0" borderId="0" xfId="9" applyNumberFormat="1" applyFont="1" applyFill="1" applyAlignment="1">
      <alignment horizontal="right"/>
    </xf>
    <xf numFmtId="10" fontId="19" fillId="0" borderId="0" xfId="3" applyNumberFormat="1" applyFont="1" applyFill="1" applyAlignment="1">
      <alignment horizontal="center"/>
    </xf>
    <xf numFmtId="164" fontId="19" fillId="0" borderId="2" xfId="3" applyNumberFormat="1" applyFont="1" applyFill="1" applyBorder="1" applyAlignment="1">
      <alignment horizontal="center"/>
    </xf>
    <xf numFmtId="5" fontId="19" fillId="0" borderId="0" xfId="8" applyNumberFormat="1" applyFont="1" applyFill="1" applyAlignment="1">
      <alignment horizontal="right"/>
    </xf>
    <xf numFmtId="164" fontId="19" fillId="0" borderId="2" xfId="3" applyNumberFormat="1" applyFont="1" applyFill="1" applyBorder="1" applyAlignment="1">
      <alignment horizontal="right"/>
    </xf>
    <xf numFmtId="164" fontId="19" fillId="0" borderId="2" xfId="7" applyNumberFormat="1" applyFont="1" applyBorder="1" applyAlignment="1">
      <alignment horizontal="right"/>
    </xf>
    <xf numFmtId="2" fontId="18" fillId="0" borderId="0" xfId="8" applyNumberFormat="1" applyFont="1" applyFill="1" applyAlignment="1">
      <alignment horizontal="center"/>
    </xf>
    <xf numFmtId="2" fontId="73" fillId="0" borderId="0" xfId="8" applyNumberFormat="1" applyFont="1" applyFill="1" applyAlignment="1">
      <alignment horizontal="center"/>
    </xf>
    <xf numFmtId="164" fontId="18" fillId="0" borderId="0" xfId="7" applyNumberFormat="1" applyFont="1" applyAlignment="1">
      <alignment horizontal="right"/>
    </xf>
    <xf numFmtId="0" fontId="25" fillId="0" borderId="0" xfId="7" applyFont="1" applyAlignment="1">
      <alignment horizontal="left" vertical="top"/>
    </xf>
    <xf numFmtId="0" fontId="14" fillId="0" borderId="0" xfId="7" applyFont="1" applyAlignment="1">
      <alignment horizontal="right" vertical="top"/>
    </xf>
    <xf numFmtId="0" fontId="14" fillId="0" borderId="0" xfId="7" applyFont="1" applyAlignment="1">
      <alignment horizontal="left" indent="1"/>
    </xf>
    <xf numFmtId="0" fontId="14" fillId="0" borderId="0" xfId="7" applyFont="1" applyAlignment="1">
      <alignment horizontal="right"/>
    </xf>
    <xf numFmtId="0" fontId="14" fillId="0" borderId="0" xfId="7" quotePrefix="1" applyFont="1" applyAlignment="1">
      <alignment horizontal="left" vertical="top"/>
    </xf>
    <xf numFmtId="2" fontId="14" fillId="0" borderId="0" xfId="8" applyNumberFormat="1" applyFont="1" applyFill="1" applyAlignment="1">
      <alignment horizontal="center" vertical="top"/>
    </xf>
    <xf numFmtId="2" fontId="25" fillId="0" borderId="0" xfId="8" applyNumberFormat="1" applyFont="1" applyFill="1" applyAlignment="1">
      <alignment horizontal="center" vertical="top"/>
    </xf>
    <xf numFmtId="0" fontId="25" fillId="0" borderId="0" xfId="7" applyFont="1" applyAlignment="1">
      <alignment horizontal="left" indent="1"/>
    </xf>
    <xf numFmtId="0" fontId="19" fillId="0" borderId="0" xfId="7" applyFont="1" applyAlignment="1">
      <alignment horizontal="left" indent="1"/>
    </xf>
    <xf numFmtId="0" fontId="66" fillId="0" borderId="0" xfId="7" applyFont="1" applyAlignment="1">
      <alignment horizontal="left" indent="1"/>
    </xf>
    <xf numFmtId="0" fontId="19" fillId="0" borderId="0" xfId="19" applyFont="1"/>
    <xf numFmtId="8" fontId="19" fillId="0" borderId="0" xfId="7" applyNumberFormat="1" applyFont="1"/>
    <xf numFmtId="2" fontId="64" fillId="0" borderId="0" xfId="7" applyNumberFormat="1" applyFont="1"/>
    <xf numFmtId="0" fontId="63" fillId="0" borderId="0" xfId="2821" applyFont="1"/>
    <xf numFmtId="0" fontId="19" fillId="0" borderId="0" xfId="2821" applyFont="1"/>
    <xf numFmtId="164" fontId="18" fillId="0" borderId="0" xfId="7" applyNumberFormat="1" applyFont="1" applyAlignment="1">
      <alignment horizontal="left"/>
    </xf>
    <xf numFmtId="0" fontId="23" fillId="0" borderId="0" xfId="7" applyFont="1" applyAlignment="1">
      <alignment horizontal="left"/>
    </xf>
    <xf numFmtId="0" fontId="19" fillId="0" borderId="0" xfId="20" applyFont="1"/>
    <xf numFmtId="10" fontId="19" fillId="0" borderId="0" xfId="8" applyNumberFormat="1" applyFont="1" applyFill="1" applyBorder="1"/>
    <xf numFmtId="164" fontId="19" fillId="0" borderId="0" xfId="13" applyNumberFormat="1" applyFont="1"/>
    <xf numFmtId="10" fontId="19" fillId="0" borderId="0" xfId="13" applyNumberFormat="1" applyFont="1" applyAlignment="1">
      <alignment horizontal="right"/>
    </xf>
    <xf numFmtId="10" fontId="19" fillId="0" borderId="0" xfId="8" applyNumberFormat="1" applyFont="1" applyFill="1" applyBorder="1" applyAlignment="1">
      <alignment horizontal="center"/>
    </xf>
    <xf numFmtId="10" fontId="19" fillId="0" borderId="0" xfId="13" applyNumberFormat="1" applyFont="1" applyAlignment="1">
      <alignment horizontal="center"/>
    </xf>
    <xf numFmtId="0" fontId="14" fillId="0" borderId="0" xfId="5" applyFont="1" applyAlignment="1">
      <alignment vertical="center"/>
    </xf>
    <xf numFmtId="10" fontId="14" fillId="0" borderId="0" xfId="5" applyNumberFormat="1" applyFont="1" applyAlignment="1">
      <alignment vertical="center"/>
    </xf>
    <xf numFmtId="0" fontId="14" fillId="0" borderId="0" xfId="5" applyFont="1" applyAlignment="1">
      <alignment horizontal="left" vertical="center" wrapText="1"/>
    </xf>
    <xf numFmtId="10" fontId="14" fillId="0" borderId="0" xfId="5" applyNumberFormat="1" applyFont="1" applyAlignment="1">
      <alignment horizontal="left" vertical="center"/>
    </xf>
    <xf numFmtId="164" fontId="18" fillId="0" borderId="4" xfId="13" applyNumberFormat="1" applyFont="1" applyBorder="1"/>
    <xf numFmtId="10" fontId="18" fillId="0" borderId="0" xfId="13" applyNumberFormat="1" applyFont="1"/>
    <xf numFmtId="0" fontId="14" fillId="0" borderId="0" xfId="7" applyFont="1" applyAlignment="1">
      <alignment horizontal="center" wrapText="1"/>
    </xf>
    <xf numFmtId="0" fontId="14" fillId="0" borderId="0" xfId="13" applyFont="1" applyAlignment="1">
      <alignment vertical="center"/>
    </xf>
    <xf numFmtId="0" fontId="14" fillId="0" borderId="0" xfId="13" applyFont="1" applyAlignment="1">
      <alignment horizontal="left" wrapText="1"/>
    </xf>
    <xf numFmtId="0" fontId="65" fillId="0" borderId="0" xfId="7" applyFont="1" applyAlignment="1">
      <alignment horizontal="center"/>
    </xf>
    <xf numFmtId="0" fontId="16" fillId="0" borderId="0" xfId="0" applyFont="1" applyAlignment="1">
      <alignment horizontal="left"/>
    </xf>
    <xf numFmtId="0" fontId="15" fillId="0" borderId="0" xfId="0" applyFont="1"/>
    <xf numFmtId="0" fontId="15" fillId="0" borderId="0" xfId="0" applyFont="1" applyAlignment="1">
      <alignment horizontal="left"/>
    </xf>
    <xf numFmtId="0" fontId="53" fillId="0" borderId="0" xfId="0" applyFont="1"/>
    <xf numFmtId="0" fontId="16" fillId="0" borderId="0" xfId="0" applyFont="1"/>
    <xf numFmtId="0" fontId="59" fillId="0" borderId="0" xfId="0" applyFont="1"/>
    <xf numFmtId="39" fontId="15" fillId="0" borderId="0" xfId="0" applyNumberFormat="1" applyFont="1"/>
    <xf numFmtId="0" fontId="54" fillId="0" borderId="0" xfId="0" applyFont="1" applyAlignment="1">
      <alignment horizontal="left"/>
    </xf>
    <xf numFmtId="0" fontId="16" fillId="0" borderId="0" xfId="0" applyFont="1" applyAlignment="1">
      <alignment horizontal="center"/>
    </xf>
    <xf numFmtId="0" fontId="55" fillId="0" borderId="0" xfId="0" applyFont="1" applyAlignment="1" applyProtection="1">
      <alignment horizontal="left"/>
      <protection locked="0"/>
    </xf>
    <xf numFmtId="0" fontId="15" fillId="0" borderId="0" xfId="0" quotePrefix="1" applyFont="1" applyAlignment="1">
      <alignment horizontal="center"/>
    </xf>
    <xf numFmtId="0" fontId="54" fillId="0" borderId="0" xfId="0" applyFont="1" applyAlignment="1">
      <alignment horizontal="center"/>
    </xf>
    <xf numFmtId="0" fontId="16" fillId="0" borderId="0" xfId="7" applyFont="1" applyAlignment="1">
      <alignment horizontal="center"/>
    </xf>
    <xf numFmtId="0" fontId="54" fillId="0" borderId="0" xfId="7" applyFont="1" applyAlignment="1">
      <alignment horizontal="center"/>
    </xf>
    <xf numFmtId="0" fontId="16" fillId="0" borderId="0" xfId="0" quotePrefix="1" applyFont="1" applyAlignment="1">
      <alignment horizontal="center"/>
    </xf>
    <xf numFmtId="0" fontId="54" fillId="0" borderId="2" xfId="0" applyFont="1" applyBorder="1" applyAlignment="1">
      <alignment horizontal="left"/>
    </xf>
    <xf numFmtId="0" fontId="54" fillId="0" borderId="2" xfId="7" applyFont="1" applyBorder="1" applyAlignment="1">
      <alignment horizontal="center"/>
    </xf>
    <xf numFmtId="0" fontId="54" fillId="0" borderId="2" xfId="0" applyFont="1" applyBorder="1" applyAlignment="1">
      <alignment horizontal="center"/>
    </xf>
    <xf numFmtId="165" fontId="15" fillId="0" borderId="0" xfId="0" applyNumberFormat="1" applyFont="1" applyAlignment="1">
      <alignment horizontal="left"/>
    </xf>
    <xf numFmtId="166" fontId="15" fillId="0" borderId="0" xfId="0" applyNumberFormat="1" applyFont="1" applyAlignment="1">
      <alignment horizontal="right"/>
    </xf>
    <xf numFmtId="44" fontId="19" fillId="0" borderId="0" xfId="0" applyNumberFormat="1" applyFont="1"/>
    <xf numFmtId="168" fontId="19" fillId="0" borderId="0" xfId="7" applyNumberFormat="1" applyFont="1"/>
    <xf numFmtId="39" fontId="19" fillId="0" borderId="0" xfId="7" applyNumberFormat="1" applyFont="1" applyAlignment="1">
      <alignment horizontal="center"/>
    </xf>
    <xf numFmtId="0" fontId="19" fillId="0" borderId="0" xfId="7" applyFont="1" applyAlignment="1">
      <alignment horizontal="left" indent="2"/>
    </xf>
    <xf numFmtId="10" fontId="19" fillId="0" borderId="0" xfId="2808" applyNumberFormat="1" applyFont="1" applyFill="1" applyAlignment="1">
      <alignment horizontal="center"/>
    </xf>
    <xf numFmtId="10" fontId="15" fillId="0" borderId="0" xfId="0" applyNumberFormat="1" applyFont="1" applyAlignment="1">
      <alignment horizontal="center"/>
    </xf>
    <xf numFmtId="0" fontId="15" fillId="0" borderId="0" xfId="0" applyFont="1" applyAlignment="1">
      <alignment horizontal="right"/>
    </xf>
    <xf numFmtId="166" fontId="15" fillId="0" borderId="0" xfId="0" applyNumberFormat="1" applyFont="1"/>
    <xf numFmtId="44" fontId="19" fillId="0" borderId="0" xfId="0" applyNumberFormat="1" applyFont="1" applyAlignment="1">
      <alignment horizontal="right"/>
    </xf>
    <xf numFmtId="44" fontId="19" fillId="0" borderId="0" xfId="7" applyNumberFormat="1" applyFont="1" applyAlignment="1">
      <alignment horizontal="center"/>
    </xf>
    <xf numFmtId="44" fontId="15" fillId="0" borderId="0" xfId="0" applyNumberFormat="1" applyFont="1"/>
    <xf numFmtId="43" fontId="15" fillId="0" borderId="0" xfId="0" applyNumberFormat="1" applyFont="1"/>
    <xf numFmtId="164" fontId="15" fillId="0" borderId="0" xfId="0" applyNumberFormat="1" applyFont="1"/>
    <xf numFmtId="168" fontId="15" fillId="0" borderId="0" xfId="0" applyNumberFormat="1" applyFont="1"/>
    <xf numFmtId="39" fontId="15" fillId="0" borderId="0" xfId="0" applyNumberFormat="1" applyFont="1" applyAlignment="1">
      <alignment horizontal="center"/>
    </xf>
    <xf numFmtId="0" fontId="15" fillId="0" borderId="0" xfId="0" applyFont="1" applyAlignment="1">
      <alignment horizontal="left" indent="2"/>
    </xf>
    <xf numFmtId="0" fontId="15" fillId="0" borderId="0" xfId="0" applyFont="1" applyAlignment="1">
      <alignment horizontal="left" indent="1"/>
    </xf>
    <xf numFmtId="10" fontId="15" fillId="0" borderId="0" xfId="0" applyNumberFormat="1" applyFont="1"/>
    <xf numFmtId="164" fontId="15" fillId="0" borderId="0" xfId="0" applyNumberFormat="1" applyFont="1" applyAlignment="1">
      <alignment horizontal="center"/>
    </xf>
    <xf numFmtId="6" fontId="15" fillId="0" borderId="0" xfId="0" applyNumberFormat="1" applyFont="1"/>
    <xf numFmtId="10" fontId="15" fillId="0" borderId="0" xfId="0" applyNumberFormat="1" applyFont="1" applyAlignment="1">
      <alignment horizontal="left"/>
    </xf>
    <xf numFmtId="39" fontId="14" fillId="0" borderId="0" xfId="0" applyNumberFormat="1" applyFont="1" applyAlignment="1">
      <alignment horizontal="center"/>
    </xf>
    <xf numFmtId="0" fontId="14" fillId="0" borderId="0" xfId="0" applyFont="1" applyAlignment="1">
      <alignment horizontal="left" indent="2"/>
    </xf>
    <xf numFmtId="10" fontId="14" fillId="0" borderId="0" xfId="0" applyNumberFormat="1" applyFont="1" applyAlignment="1">
      <alignment horizontal="center"/>
    </xf>
    <xf numFmtId="165" fontId="14" fillId="0" borderId="0" xfId="7" applyNumberFormat="1" applyFont="1" applyAlignment="1">
      <alignment horizontal="left"/>
    </xf>
    <xf numFmtId="166" fontId="14" fillId="0" borderId="0" xfId="7" applyNumberFormat="1" applyFont="1"/>
    <xf numFmtId="44" fontId="14" fillId="0" borderId="0" xfId="7" applyNumberFormat="1" applyFont="1"/>
    <xf numFmtId="6" fontId="14" fillId="0" borderId="0" xfId="0" applyNumberFormat="1" applyFont="1"/>
    <xf numFmtId="10" fontId="14" fillId="0" borderId="0" xfId="0" applyNumberFormat="1" applyFont="1" applyAlignment="1">
      <alignment horizontal="left"/>
    </xf>
    <xf numFmtId="0" fontId="76" fillId="0" borderId="0" xfId="0" applyFont="1"/>
    <xf numFmtId="0" fontId="77" fillId="0" borderId="0" xfId="0" applyFont="1"/>
    <xf numFmtId="0" fontId="78" fillId="9" borderId="24" xfId="0" applyFont="1" applyFill="1" applyBorder="1" applyAlignment="1">
      <alignment vertical="center"/>
    </xf>
    <xf numFmtId="0" fontId="78" fillId="9" borderId="24" xfId="0" applyFont="1" applyFill="1" applyBorder="1" applyAlignment="1">
      <alignment horizontal="right" vertical="center"/>
    </xf>
    <xf numFmtId="0" fontId="79" fillId="0" borderId="24" xfId="0" applyFont="1" applyBorder="1" applyAlignment="1">
      <alignment horizontal="left" vertical="center"/>
    </xf>
    <xf numFmtId="4" fontId="79" fillId="0" borderId="24" xfId="0" applyNumberFormat="1" applyFont="1" applyBorder="1" applyAlignment="1">
      <alignment horizontal="right" vertical="center"/>
    </xf>
    <xf numFmtId="10" fontId="79" fillId="0" borderId="24" xfId="0" applyNumberFormat="1" applyFont="1" applyBorder="1" applyAlignment="1">
      <alignment horizontal="right" vertical="center"/>
    </xf>
    <xf numFmtId="0" fontId="75" fillId="0" borderId="0" xfId="0" applyFont="1" applyAlignment="1">
      <alignment horizontal="left" vertical="center"/>
    </xf>
    <xf numFmtId="0" fontId="19" fillId="0" borderId="0" xfId="7" applyFont="1" applyAlignment="1">
      <alignment horizontal="left" vertical="top" wrapText="1"/>
    </xf>
    <xf numFmtId="0" fontId="18" fillId="0" borderId="0" xfId="0" applyFont="1" applyAlignment="1">
      <alignment horizontal="center" wrapText="1"/>
    </xf>
    <xf numFmtId="0" fontId="18" fillId="0" borderId="2" xfId="0" applyFont="1" applyBorder="1" applyAlignment="1">
      <alignment horizontal="right"/>
    </xf>
    <xf numFmtId="0" fontId="18" fillId="0" borderId="2" xfId="0" applyFont="1" applyBorder="1" applyAlignment="1">
      <alignment horizontal="center" wrapText="1"/>
    </xf>
    <xf numFmtId="10" fontId="18" fillId="0" borderId="4" xfId="0" applyNumberFormat="1" applyFont="1" applyBorder="1"/>
    <xf numFmtId="0" fontId="19" fillId="0" borderId="0" xfId="7" quotePrefix="1" applyFont="1" applyAlignment="1">
      <alignment horizontal="center"/>
    </xf>
    <xf numFmtId="0" fontId="18" fillId="2" borderId="0" xfId="0" applyFont="1" applyFill="1"/>
    <xf numFmtId="0" fontId="18" fillId="2" borderId="2" xfId="0" applyFont="1" applyFill="1" applyBorder="1" applyAlignment="1">
      <alignment horizontal="center"/>
    </xf>
    <xf numFmtId="0" fontId="19" fillId="2" borderId="0" xfId="0" applyFont="1" applyFill="1"/>
    <xf numFmtId="0" fontId="19" fillId="2" borderId="0" xfId="0" applyFont="1" applyFill="1" applyAlignment="1">
      <alignment horizontal="center"/>
    </xf>
    <xf numFmtId="39" fontId="19" fillId="2" borderId="0" xfId="0" applyNumberFormat="1" applyFont="1" applyFill="1" applyAlignment="1">
      <alignment horizontal="center"/>
    </xf>
    <xf numFmtId="1" fontId="19" fillId="2" borderId="0" xfId="0" applyNumberFormat="1" applyFont="1" applyFill="1" applyAlignment="1">
      <alignment horizontal="center"/>
    </xf>
    <xf numFmtId="0" fontId="19" fillId="2" borderId="0" xfId="0" applyFont="1" applyFill="1" applyAlignment="1">
      <alignment horizontal="left" indent="1"/>
    </xf>
    <xf numFmtId="2" fontId="19" fillId="2" borderId="0" xfId="0" applyNumberFormat="1" applyFont="1" applyFill="1" applyAlignment="1">
      <alignment horizontal="center"/>
    </xf>
    <xf numFmtId="0" fontId="18" fillId="2" borderId="0" xfId="7" applyFont="1" applyFill="1" applyAlignment="1">
      <alignment horizontal="center"/>
    </xf>
    <xf numFmtId="0" fontId="18" fillId="2" borderId="2" xfId="7" applyFont="1" applyFill="1" applyBorder="1"/>
    <xf numFmtId="0" fontId="18" fillId="2" borderId="2" xfId="7" applyFont="1" applyFill="1" applyBorder="1" applyAlignment="1">
      <alignment horizontal="center"/>
    </xf>
    <xf numFmtId="10" fontId="19" fillId="2" borderId="0" xfId="3" applyNumberFormat="1" applyFont="1" applyFill="1" applyAlignment="1">
      <alignment horizontal="center"/>
    </xf>
    <xf numFmtId="10" fontId="19" fillId="2" borderId="0" xfId="7" applyNumberFormat="1" applyFont="1" applyFill="1" applyAlignment="1">
      <alignment horizontal="center"/>
    </xf>
    <xf numFmtId="1" fontId="19" fillId="2" borderId="0" xfId="7" applyNumberFormat="1" applyFont="1" applyFill="1" applyAlignment="1">
      <alignment horizontal="center"/>
    </xf>
    <xf numFmtId="0" fontId="19" fillId="2" borderId="0" xfId="7" applyFont="1" applyFill="1" applyAlignment="1">
      <alignment horizontal="center"/>
    </xf>
    <xf numFmtId="0" fontId="14" fillId="2" borderId="0" xfId="7" applyFont="1" applyFill="1"/>
    <xf numFmtId="10" fontId="18" fillId="0" borderId="0" xfId="7" applyNumberFormat="1" applyFont="1" applyAlignment="1">
      <alignment horizontal="center"/>
    </xf>
    <xf numFmtId="10" fontId="19" fillId="0" borderId="0" xfId="2824" applyNumberFormat="1" applyFont="1" applyAlignment="1">
      <alignment horizontal="center"/>
    </xf>
    <xf numFmtId="0" fontId="14" fillId="2" borderId="0" xfId="7" applyFont="1" applyFill="1" applyAlignment="1">
      <alignment horizontal="left"/>
    </xf>
    <xf numFmtId="0" fontId="19" fillId="2" borderId="0" xfId="7" applyFont="1" applyFill="1" applyAlignment="1">
      <alignment horizontal="left"/>
    </xf>
    <xf numFmtId="0" fontId="21" fillId="2" borderId="0" xfId="7" quotePrefix="1" applyFont="1" applyFill="1" applyAlignment="1">
      <alignment horizontal="center"/>
    </xf>
    <xf numFmtId="164" fontId="19" fillId="2" borderId="0" xfId="2825" applyNumberFormat="1" applyFont="1" applyFill="1" applyAlignment="1">
      <alignment horizontal="center"/>
    </xf>
    <xf numFmtId="0" fontId="69" fillId="0" borderId="0" xfId="2825" applyFont="1" applyAlignment="1">
      <alignment horizontal="center" vertical="center"/>
    </xf>
    <xf numFmtId="0" fontId="20" fillId="0" borderId="0" xfId="11" applyFont="1" applyAlignment="1">
      <alignment horizontal="center"/>
    </xf>
    <xf numFmtId="164" fontId="20" fillId="0" borderId="0" xfId="11" applyNumberFormat="1" applyFont="1" applyAlignment="1">
      <alignment horizontal="center"/>
    </xf>
    <xf numFmtId="164" fontId="18" fillId="0" borderId="0" xfId="11" applyNumberFormat="1" applyFont="1" applyAlignment="1">
      <alignment horizontal="right"/>
    </xf>
    <xf numFmtId="0" fontId="19" fillId="4" borderId="0" xfId="11" applyFont="1" applyFill="1" applyAlignment="1">
      <alignment horizontal="center"/>
    </xf>
    <xf numFmtId="0" fontId="18" fillId="4" borderId="2" xfId="11" applyFont="1" applyFill="1" applyBorder="1" applyAlignment="1">
      <alignment horizontal="center"/>
    </xf>
    <xf numFmtId="0" fontId="19" fillId="4" borderId="0" xfId="11" applyFont="1" applyFill="1"/>
    <xf numFmtId="0" fontId="18" fillId="4" borderId="0" xfId="11" applyFont="1" applyFill="1" applyAlignment="1">
      <alignment horizontal="center"/>
    </xf>
    <xf numFmtId="0" fontId="18" fillId="4" borderId="2" xfId="11" applyFont="1" applyFill="1" applyBorder="1" applyAlignment="1">
      <alignment horizontal="center" vertical="center"/>
    </xf>
    <xf numFmtId="164" fontId="14" fillId="0" borderId="0" xfId="3" applyNumberFormat="1" applyFont="1" applyFill="1" applyBorder="1" applyAlignment="1">
      <alignment horizontal="center"/>
    </xf>
    <xf numFmtId="0" fontId="23" fillId="0" borderId="0" xfId="13" applyFont="1" applyAlignment="1">
      <alignment horizontal="right"/>
    </xf>
    <xf numFmtId="180" fontId="70" fillId="0" borderId="0" xfId="8" applyNumberFormat="1" applyFont="1" applyFill="1" applyBorder="1"/>
    <xf numFmtId="0" fontId="70" fillId="0" borderId="0" xfId="11" applyFont="1"/>
    <xf numFmtId="0" fontId="70" fillId="0" borderId="0" xfId="13" applyFont="1"/>
    <xf numFmtId="0" fontId="32" fillId="0" borderId="0" xfId="2826" applyFont="1"/>
    <xf numFmtId="0" fontId="80" fillId="0" borderId="2" xfId="2826" applyFont="1" applyBorder="1" applyAlignment="1">
      <alignment horizontal="center"/>
    </xf>
    <xf numFmtId="0" fontId="80" fillId="0" borderId="0" xfId="2826" applyFont="1" applyAlignment="1">
      <alignment horizontal="center"/>
    </xf>
    <xf numFmtId="0" fontId="32" fillId="0" borderId="0" xfId="2826" applyFont="1" applyAlignment="1">
      <alignment horizontal="left"/>
    </xf>
    <xf numFmtId="10" fontId="32" fillId="0" borderId="0" xfId="2827" applyNumberFormat="1" applyFont="1" applyBorder="1" applyAlignment="1">
      <alignment horizontal="center"/>
    </xf>
    <xf numFmtId="10" fontId="32" fillId="0" borderId="0" xfId="2827" quotePrefix="1" applyNumberFormat="1" applyFont="1" applyBorder="1" applyAlignment="1">
      <alignment horizontal="center"/>
    </xf>
    <xf numFmtId="10" fontId="32" fillId="0" borderId="0" xfId="2827" applyNumberFormat="1" applyFont="1" applyBorder="1"/>
    <xf numFmtId="10" fontId="32" fillId="0" borderId="0" xfId="2827" applyNumberFormat="1" applyFont="1" applyFill="1" applyBorder="1" applyAlignment="1">
      <alignment horizontal="center"/>
    </xf>
    <xf numFmtId="10" fontId="32" fillId="0" borderId="0" xfId="2827" quotePrefix="1" applyNumberFormat="1" applyFont="1" applyFill="1" applyBorder="1" applyAlignment="1">
      <alignment horizontal="center"/>
    </xf>
    <xf numFmtId="10" fontId="32" fillId="0" borderId="0" xfId="2827" applyNumberFormat="1" applyFont="1" applyFill="1" applyBorder="1"/>
    <xf numFmtId="10" fontId="32" fillId="0" borderId="2" xfId="2827" applyNumberFormat="1" applyFont="1" applyFill="1" applyBorder="1" applyAlignment="1">
      <alignment horizontal="center"/>
    </xf>
    <xf numFmtId="10" fontId="32" fillId="0" borderId="2" xfId="2827" quotePrefix="1" applyNumberFormat="1" applyFont="1" applyFill="1" applyBorder="1" applyAlignment="1">
      <alignment horizontal="center"/>
    </xf>
    <xf numFmtId="10" fontId="32" fillId="0" borderId="2" xfId="2827" applyNumberFormat="1" applyFont="1" applyFill="1" applyBorder="1"/>
    <xf numFmtId="10" fontId="80" fillId="0" borderId="0" xfId="2827" applyNumberFormat="1" applyFont="1" applyBorder="1" applyAlignment="1">
      <alignment horizontal="center"/>
    </xf>
    <xf numFmtId="10" fontId="80" fillId="0" borderId="0" xfId="2827" applyNumberFormat="1" applyFont="1" applyBorder="1"/>
    <xf numFmtId="10" fontId="32" fillId="0" borderId="0" xfId="2826" applyNumberFormat="1" applyFont="1"/>
    <xf numFmtId="10" fontId="32" fillId="0" borderId="0" xfId="2827" quotePrefix="1" applyNumberFormat="1" applyFont="1" applyBorder="1" applyAlignment="1">
      <alignment horizontal="right"/>
    </xf>
    <xf numFmtId="0" fontId="81" fillId="0" borderId="0" xfId="2826" applyFont="1" applyAlignment="1">
      <alignment horizontal="left" vertical="top" wrapText="1"/>
    </xf>
    <xf numFmtId="0" fontId="81" fillId="0" borderId="0" xfId="2826" applyFont="1"/>
    <xf numFmtId="0" fontId="82" fillId="2" borderId="0" xfId="2825" applyFont="1" applyFill="1" applyAlignment="1">
      <alignment horizontal="left" indent="20"/>
    </xf>
    <xf numFmtId="0" fontId="82" fillId="2" borderId="0" xfId="2825" applyFont="1" applyFill="1" applyAlignment="1">
      <alignment horizontal="right" vertical="center" indent="1"/>
    </xf>
    <xf numFmtId="0" fontId="83" fillId="2" borderId="0" xfId="2825" applyFont="1" applyFill="1" applyAlignment="1">
      <alignment horizontal="right"/>
    </xf>
    <xf numFmtId="0" fontId="83" fillId="2" borderId="0" xfId="2825" applyFont="1" applyFill="1" applyAlignment="1">
      <alignment horizontal="left"/>
    </xf>
    <xf numFmtId="0" fontId="83" fillId="2" borderId="0" xfId="2825" applyFont="1" applyFill="1"/>
    <xf numFmtId="1" fontId="83" fillId="2" borderId="0" xfId="2825" applyNumberFormat="1" applyFont="1" applyFill="1" applyAlignment="1">
      <alignment horizontal="right"/>
    </xf>
    <xf numFmtId="1" fontId="83" fillId="2" borderId="0" xfId="2825" applyNumberFormat="1" applyFont="1" applyFill="1" applyAlignment="1">
      <alignment horizontal="left"/>
    </xf>
    <xf numFmtId="0" fontId="84" fillId="2" borderId="0" xfId="2828" applyFont="1" applyFill="1" applyBorder="1" applyAlignment="1">
      <alignment vertical="center"/>
    </xf>
    <xf numFmtId="0" fontId="85" fillId="2" borderId="0" xfId="2828" applyFont="1" applyFill="1" applyBorder="1" applyAlignment="1">
      <alignment vertical="center" wrapText="1"/>
    </xf>
    <xf numFmtId="187" fontId="86" fillId="4" borderId="0" xfId="2825" applyNumberFormat="1" applyFont="1" applyFill="1"/>
    <xf numFmtId="187" fontId="86" fillId="4" borderId="0" xfId="2825" applyNumberFormat="1" applyFont="1" applyFill="1" applyAlignment="1">
      <alignment horizontal="left" indent="1"/>
    </xf>
    <xf numFmtId="0" fontId="86" fillId="4" borderId="0" xfId="2825" applyFont="1" applyFill="1"/>
    <xf numFmtId="0" fontId="87" fillId="4" borderId="0" xfId="2825" applyFont="1" applyFill="1"/>
    <xf numFmtId="0" fontId="88" fillId="4" borderId="0" xfId="2825" applyFont="1" applyFill="1"/>
    <xf numFmtId="2" fontId="88" fillId="4" borderId="0" xfId="2825" applyNumberFormat="1" applyFont="1" applyFill="1" applyAlignment="1">
      <alignment horizontal="right"/>
    </xf>
    <xf numFmtId="2" fontId="88" fillId="4" borderId="0" xfId="2825" applyNumberFormat="1" applyFont="1" applyFill="1" applyAlignment="1">
      <alignment horizontal="right" wrapText="1"/>
    </xf>
    <xf numFmtId="14" fontId="88" fillId="4" borderId="0" xfId="2825" applyNumberFormat="1" applyFont="1" applyFill="1" applyAlignment="1">
      <alignment horizontal="left" indent="1"/>
    </xf>
    <xf numFmtId="14" fontId="88" fillId="4" borderId="0" xfId="2825" applyNumberFormat="1" applyFont="1" applyFill="1" applyAlignment="1">
      <alignment horizontal="right"/>
    </xf>
    <xf numFmtId="14" fontId="88" fillId="4" borderId="0" xfId="2825" applyNumberFormat="1" applyFont="1" applyFill="1" applyAlignment="1">
      <alignment horizontal="right" wrapText="1"/>
    </xf>
    <xf numFmtId="188" fontId="88" fillId="4" borderId="0" xfId="2825" applyNumberFormat="1" applyFont="1" applyFill="1" applyAlignment="1">
      <alignment horizontal="right"/>
    </xf>
    <xf numFmtId="1" fontId="83" fillId="4" borderId="0" xfId="2825" applyNumberFormat="1" applyFont="1" applyFill="1" applyAlignment="1">
      <alignment horizontal="right"/>
    </xf>
    <xf numFmtId="1" fontId="83" fillId="4" borderId="0" xfId="2825" applyNumberFormat="1" applyFont="1" applyFill="1" applyAlignment="1">
      <alignment horizontal="left"/>
    </xf>
    <xf numFmtId="188" fontId="88" fillId="4" borderId="0" xfId="2825" applyNumberFormat="1" applyFont="1" applyFill="1"/>
    <xf numFmtId="1" fontId="88" fillId="4" borderId="0" xfId="2825" applyNumberFormat="1" applyFont="1" applyFill="1"/>
    <xf numFmtId="0" fontId="88" fillId="4" borderId="0" xfId="2825" applyFont="1" applyFill="1" applyAlignment="1">
      <alignment horizontal="left" indent="1"/>
    </xf>
    <xf numFmtId="0" fontId="83" fillId="4" borderId="0" xfId="2825" applyFont="1" applyFill="1"/>
    <xf numFmtId="187" fontId="88" fillId="4" borderId="2" xfId="2825" applyNumberFormat="1" applyFont="1" applyFill="1" applyBorder="1" applyAlignment="1">
      <alignment horizontal="right"/>
    </xf>
    <xf numFmtId="187" fontId="88" fillId="4" borderId="2" xfId="2825" applyNumberFormat="1" applyFont="1" applyFill="1" applyBorder="1" applyAlignment="1">
      <alignment horizontal="left" indent="1"/>
    </xf>
    <xf numFmtId="0" fontId="88" fillId="4" borderId="2" xfId="2825" applyFont="1" applyFill="1" applyBorder="1"/>
    <xf numFmtId="2" fontId="88" fillId="4" borderId="2" xfId="2825" applyNumberFormat="1" applyFont="1" applyFill="1" applyBorder="1" applyAlignment="1">
      <alignment horizontal="right"/>
    </xf>
    <xf numFmtId="2" fontId="88" fillId="4" borderId="2" xfId="2825" applyNumberFormat="1" applyFont="1" applyFill="1" applyBorder="1" applyAlignment="1">
      <alignment horizontal="right" wrapText="1"/>
    </xf>
    <xf numFmtId="14" fontId="88" fillId="4" borderId="2" xfId="2825" applyNumberFormat="1" applyFont="1" applyFill="1" applyBorder="1" applyAlignment="1">
      <alignment horizontal="right" wrapText="1"/>
    </xf>
    <xf numFmtId="188" fontId="88" fillId="4" borderId="2" xfId="2825" applyNumberFormat="1" applyFont="1" applyFill="1" applyBorder="1" applyAlignment="1">
      <alignment horizontal="right"/>
    </xf>
    <xf numFmtId="1" fontId="83" fillId="4" borderId="2" xfId="2825" applyNumberFormat="1" applyFont="1" applyFill="1" applyBorder="1" applyAlignment="1">
      <alignment horizontal="right"/>
    </xf>
    <xf numFmtId="1" fontId="83" fillId="4" borderId="2" xfId="2825" applyNumberFormat="1" applyFont="1" applyFill="1" applyBorder="1" applyAlignment="1">
      <alignment horizontal="left"/>
    </xf>
    <xf numFmtId="188" fontId="88" fillId="4" borderId="2" xfId="2825" applyNumberFormat="1" applyFont="1" applyFill="1" applyBorder="1"/>
    <xf numFmtId="1" fontId="88" fillId="4" borderId="2" xfId="2825" applyNumberFormat="1" applyFont="1" applyFill="1" applyBorder="1"/>
    <xf numFmtId="0" fontId="88" fillId="4" borderId="2" xfId="2825" applyFont="1" applyFill="1" applyBorder="1" applyAlignment="1">
      <alignment horizontal="left" indent="1"/>
    </xf>
    <xf numFmtId="0" fontId="83" fillId="4" borderId="2" xfId="2825" applyFont="1" applyFill="1" applyBorder="1"/>
    <xf numFmtId="189" fontId="83" fillId="0" borderId="0" xfId="2825" applyNumberFormat="1" applyFont="1" applyAlignment="1">
      <alignment horizontal="right"/>
    </xf>
    <xf numFmtId="190" fontId="83" fillId="0" borderId="0" xfId="2825" applyNumberFormat="1" applyFont="1"/>
    <xf numFmtId="0" fontId="83" fillId="0" borderId="0" xfId="2825" applyFont="1"/>
    <xf numFmtId="4" fontId="83" fillId="0" borderId="0" xfId="2825" applyNumberFormat="1" applyFont="1" applyAlignment="1">
      <alignment horizontal="right"/>
    </xf>
    <xf numFmtId="2" fontId="83" fillId="0" borderId="0" xfId="2825" applyNumberFormat="1" applyFont="1" applyAlignment="1">
      <alignment horizontal="right"/>
    </xf>
    <xf numFmtId="191" fontId="83" fillId="0" borderId="0" xfId="2825" applyNumberFormat="1" applyFont="1"/>
    <xf numFmtId="0" fontId="83" fillId="0" borderId="0" xfId="2825" applyFont="1" applyAlignment="1">
      <alignment horizontal="right"/>
    </xf>
    <xf numFmtId="188" fontId="83" fillId="0" borderId="0" xfId="2825" applyNumberFormat="1" applyFont="1" applyAlignment="1">
      <alignment horizontal="right"/>
    </xf>
    <xf numFmtId="188" fontId="83" fillId="2" borderId="0" xfId="2825" applyNumberFormat="1" applyFont="1" applyFill="1"/>
    <xf numFmtId="1" fontId="83" fillId="2" borderId="0" xfId="2825" applyNumberFormat="1" applyFont="1" applyFill="1"/>
    <xf numFmtId="2" fontId="83" fillId="2" borderId="0" xfId="2825" applyNumberFormat="1" applyFont="1" applyFill="1" applyAlignment="1">
      <alignment horizontal="right"/>
    </xf>
    <xf numFmtId="188" fontId="83" fillId="2" borderId="0" xfId="2825" applyNumberFormat="1" applyFont="1" applyFill="1" applyAlignment="1">
      <alignment horizontal="right"/>
    </xf>
    <xf numFmtId="191" fontId="83" fillId="0" borderId="0" xfId="2825" applyNumberFormat="1" applyFont="1" applyAlignment="1">
      <alignment horizontal="right"/>
    </xf>
    <xf numFmtId="188" fontId="29" fillId="0" borderId="0" xfId="2825" applyNumberFormat="1" applyFont="1" applyAlignment="1">
      <alignment horizontal="right"/>
    </xf>
    <xf numFmtId="188" fontId="83" fillId="2" borderId="0" xfId="2825" applyNumberFormat="1" applyFont="1" applyFill="1" applyAlignment="1">
      <alignment horizontal="left"/>
    </xf>
    <xf numFmtId="0" fontId="88" fillId="2" borderId="0" xfId="2825" applyFont="1" applyFill="1"/>
    <xf numFmtId="0" fontId="88" fillId="2" borderId="0" xfId="2825" quotePrefix="1" applyFont="1" applyFill="1" applyAlignment="1">
      <alignment horizontal="right"/>
    </xf>
    <xf numFmtId="189" fontId="88" fillId="0" borderId="0" xfId="2825" applyNumberFormat="1" applyFont="1"/>
    <xf numFmtId="190" fontId="88" fillId="0" borderId="0" xfId="2825" applyNumberFormat="1" applyFont="1"/>
    <xf numFmtId="190" fontId="88" fillId="2" borderId="0" xfId="2825" applyNumberFormat="1" applyFont="1" applyFill="1"/>
    <xf numFmtId="2" fontId="88" fillId="2" borderId="0" xfId="2825" applyNumberFormat="1" applyFont="1" applyFill="1" applyAlignment="1">
      <alignment horizontal="right"/>
    </xf>
    <xf numFmtId="187" fontId="88" fillId="2" borderId="0" xfId="2825" applyNumberFormat="1" applyFont="1" applyFill="1" applyAlignment="1">
      <alignment horizontal="right"/>
    </xf>
    <xf numFmtId="173" fontId="88" fillId="2" borderId="0" xfId="2829" applyNumberFormat="1" applyFont="1" applyFill="1" applyAlignment="1">
      <alignment horizontal="right"/>
    </xf>
    <xf numFmtId="188" fontId="88" fillId="2" borderId="0" xfId="2825" applyNumberFormat="1" applyFont="1" applyFill="1" applyAlignment="1">
      <alignment horizontal="right"/>
    </xf>
    <xf numFmtId="2" fontId="88" fillId="2" borderId="0" xfId="2825" applyNumberFormat="1" applyFont="1" applyFill="1" applyAlignment="1">
      <alignment horizontal="left"/>
    </xf>
    <xf numFmtId="188" fontId="88" fillId="2" borderId="0" xfId="2825" applyNumberFormat="1" applyFont="1" applyFill="1"/>
    <xf numFmtId="188" fontId="88" fillId="2" borderId="0" xfId="2825" applyNumberFormat="1" applyFont="1" applyFill="1" applyAlignment="1">
      <alignment horizontal="left"/>
    </xf>
    <xf numFmtId="2" fontId="83" fillId="2" borderId="0" xfId="2825" applyNumberFormat="1" applyFont="1" applyFill="1"/>
    <xf numFmtId="187" fontId="88" fillId="0" borderId="0" xfId="2825" applyNumberFormat="1" applyFont="1" applyAlignment="1">
      <alignment horizontal="right"/>
    </xf>
    <xf numFmtId="0" fontId="88" fillId="2" borderId="0" xfId="2825" applyFont="1" applyFill="1" applyAlignment="1">
      <alignment horizontal="right"/>
    </xf>
    <xf numFmtId="191" fontId="88" fillId="2" borderId="0" xfId="2825" applyNumberFormat="1" applyFont="1" applyFill="1" applyAlignment="1">
      <alignment horizontal="right"/>
    </xf>
    <xf numFmtId="1" fontId="88" fillId="2" borderId="0" xfId="2825" applyNumberFormat="1" applyFont="1" applyFill="1" applyAlignment="1">
      <alignment horizontal="left"/>
    </xf>
    <xf numFmtId="187" fontId="88" fillId="0" borderId="0" xfId="2825" quotePrefix="1" applyNumberFormat="1" applyFont="1" applyAlignment="1">
      <alignment horizontal="left"/>
    </xf>
    <xf numFmtId="0" fontId="88" fillId="0" borderId="0" xfId="2825" applyFont="1"/>
    <xf numFmtId="0" fontId="88" fillId="0" borderId="0" xfId="2825" applyFont="1" applyAlignment="1">
      <alignment horizontal="right"/>
    </xf>
    <xf numFmtId="2" fontId="88" fillId="0" borderId="0" xfId="2825" applyNumberFormat="1" applyFont="1"/>
    <xf numFmtId="191" fontId="88" fillId="0" borderId="0" xfId="2825" applyNumberFormat="1" applyFont="1" applyAlignment="1">
      <alignment horizontal="right"/>
    </xf>
    <xf numFmtId="1" fontId="88" fillId="0" borderId="0" xfId="2825" applyNumberFormat="1" applyFont="1"/>
    <xf numFmtId="188" fontId="88" fillId="0" borderId="0" xfId="2825" applyNumberFormat="1" applyFont="1" applyAlignment="1">
      <alignment horizontal="right"/>
    </xf>
    <xf numFmtId="14" fontId="88" fillId="4" borderId="2" xfId="2825" applyNumberFormat="1" applyFont="1" applyFill="1" applyBorder="1" applyAlignment="1">
      <alignment horizontal="right"/>
    </xf>
    <xf numFmtId="189" fontId="83" fillId="0" borderId="0" xfId="2825" applyNumberFormat="1" applyFont="1"/>
    <xf numFmtId="0" fontId="2" fillId="2" borderId="0" xfId="2825" applyFill="1"/>
    <xf numFmtId="4" fontId="2" fillId="0" borderId="0" xfId="2825" applyNumberFormat="1" applyAlignment="1">
      <alignment horizontal="right"/>
    </xf>
    <xf numFmtId="188" fontId="83" fillId="0" borderId="0" xfId="2825" applyNumberFormat="1" applyFont="1"/>
    <xf numFmtId="0" fontId="88" fillId="0" borderId="0" xfId="2825" quotePrefix="1" applyFont="1"/>
    <xf numFmtId="187" fontId="88" fillId="0" borderId="0" xfId="2825" applyNumberFormat="1" applyFont="1"/>
    <xf numFmtId="4" fontId="88" fillId="2" borderId="0" xfId="2825" applyNumberFormat="1" applyFont="1" applyFill="1"/>
    <xf numFmtId="2" fontId="85" fillId="2" borderId="0" xfId="2825" applyNumberFormat="1" applyFont="1" applyFill="1"/>
    <xf numFmtId="1" fontId="85" fillId="2" borderId="0" xfId="2825" applyNumberFormat="1" applyFont="1" applyFill="1" applyAlignment="1">
      <alignment horizontal="right"/>
    </xf>
    <xf numFmtId="192" fontId="85" fillId="2" borderId="0" xfId="2825" applyNumberFormat="1" applyFont="1" applyFill="1"/>
    <xf numFmtId="173" fontId="83" fillId="2" borderId="0" xfId="2825" applyNumberFormat="1" applyFont="1" applyFill="1"/>
    <xf numFmtId="1" fontId="83" fillId="0" borderId="0" xfId="2825" applyNumberFormat="1" applyFont="1"/>
    <xf numFmtId="188" fontId="83" fillId="0" borderId="0" xfId="2825" applyNumberFormat="1" applyFont="1" applyAlignment="1">
      <alignment horizontal="left"/>
    </xf>
    <xf numFmtId="2" fontId="83" fillId="2" borderId="0" xfId="2825" applyNumberFormat="1" applyFont="1" applyFill="1" applyAlignment="1">
      <alignment horizontal="left"/>
    </xf>
    <xf numFmtId="0" fontId="85" fillId="2" borderId="0" xfId="2825" applyFont="1" applyFill="1" applyAlignment="1">
      <alignment horizontal="right"/>
    </xf>
    <xf numFmtId="2" fontId="85" fillId="2" borderId="0" xfId="2825" applyNumberFormat="1" applyFont="1" applyFill="1" applyAlignment="1">
      <alignment horizontal="right"/>
    </xf>
    <xf numFmtId="191" fontId="85" fillId="2" borderId="0" xfId="2825" applyNumberFormat="1" applyFont="1" applyFill="1" applyAlignment="1">
      <alignment horizontal="right"/>
    </xf>
    <xf numFmtId="187" fontId="88" fillId="2" borderId="0" xfId="2825" applyNumberFormat="1" applyFont="1" applyFill="1" applyAlignment="1">
      <alignment horizontal="left"/>
    </xf>
    <xf numFmtId="189" fontId="88" fillId="2" borderId="0" xfId="2825" applyNumberFormat="1" applyFont="1" applyFill="1"/>
    <xf numFmtId="188" fontId="89" fillId="2" borderId="0" xfId="2825" applyNumberFormat="1" applyFont="1" applyFill="1"/>
    <xf numFmtId="1" fontId="89" fillId="2" borderId="0" xfId="2825" applyNumberFormat="1" applyFont="1" applyFill="1" applyAlignment="1">
      <alignment horizontal="right"/>
    </xf>
    <xf numFmtId="1" fontId="89" fillId="2" borderId="0" xfId="2825" applyNumberFormat="1" applyFont="1" applyFill="1" applyAlignment="1">
      <alignment horizontal="left"/>
    </xf>
    <xf numFmtId="1" fontId="89" fillId="2" borderId="0" xfId="2825" applyNumberFormat="1" applyFont="1" applyFill="1"/>
    <xf numFmtId="0" fontId="83" fillId="2" borderId="0" xfId="2825" applyFont="1" applyFill="1" applyAlignment="1">
      <alignment horizontal="left" vertical="center"/>
    </xf>
    <xf numFmtId="2" fontId="89" fillId="2" borderId="0" xfId="2825" applyNumberFormat="1" applyFont="1" applyFill="1"/>
    <xf numFmtId="0" fontId="83" fillId="2" borderId="0" xfId="2830" applyFont="1" applyFill="1" applyAlignment="1">
      <alignment horizontal="left" vertical="center"/>
    </xf>
    <xf numFmtId="0" fontId="85" fillId="2" borderId="0" xfId="2825" applyFont="1" applyFill="1"/>
    <xf numFmtId="0" fontId="89" fillId="2" borderId="0" xfId="2825" applyFont="1" applyFill="1"/>
    <xf numFmtId="187" fontId="82" fillId="2" borderId="0" xfId="2825" applyNumberFormat="1" applyFont="1" applyFill="1"/>
    <xf numFmtId="187" fontId="89" fillId="2" borderId="0" xfId="2825" applyNumberFormat="1" applyFont="1" applyFill="1"/>
    <xf numFmtId="188" fontId="83" fillId="2" borderId="0" xfId="2825" applyNumberFormat="1" applyFont="1" applyFill="1" applyAlignment="1">
      <alignment horizontal="left" vertical="center"/>
    </xf>
    <xf numFmtId="188" fontId="83" fillId="2" borderId="0" xfId="2825" applyNumberFormat="1" applyFont="1" applyFill="1" applyAlignment="1">
      <alignment horizontal="left" vertical="center" wrapText="1"/>
    </xf>
    <xf numFmtId="1" fontId="83" fillId="2" borderId="0" xfId="2825" applyNumberFormat="1" applyFont="1" applyFill="1" applyAlignment="1">
      <alignment horizontal="right" vertical="center" wrapText="1"/>
    </xf>
    <xf numFmtId="1" fontId="83" fillId="2" borderId="0" xfId="2825" applyNumberFormat="1" applyFont="1" applyFill="1" applyAlignment="1">
      <alignment horizontal="left" vertical="center" wrapText="1"/>
    </xf>
    <xf numFmtId="188" fontId="83" fillId="2" borderId="0" xfId="2825" applyNumberFormat="1" applyFont="1" applyFill="1" applyAlignment="1">
      <alignment vertical="center" wrapText="1"/>
    </xf>
    <xf numFmtId="188" fontId="89" fillId="2" borderId="0" xfId="2825" applyNumberFormat="1" applyFont="1" applyFill="1" applyAlignment="1">
      <alignment vertical="center"/>
    </xf>
    <xf numFmtId="0" fontId="83" fillId="2" borderId="0" xfId="2825" applyFont="1" applyFill="1" applyAlignment="1">
      <alignment vertical="center"/>
    </xf>
    <xf numFmtId="0" fontId="83" fillId="0" borderId="0" xfId="2825" applyFont="1" applyAlignment="1">
      <alignment vertical="center"/>
    </xf>
    <xf numFmtId="0" fontId="83" fillId="0" borderId="0" xfId="2825" applyFont="1" applyAlignment="1">
      <alignment horizontal="left"/>
    </xf>
    <xf numFmtId="0" fontId="90" fillId="2" borderId="0" xfId="2825" applyFont="1" applyFill="1"/>
    <xf numFmtId="0" fontId="83" fillId="2" borderId="0" xfId="2825" applyFont="1" applyFill="1" applyAlignment="1">
      <alignment horizontal="left" vertical="top" wrapText="1"/>
    </xf>
    <xf numFmtId="1" fontId="83" fillId="2" borderId="0" xfId="2825" applyNumberFormat="1" applyFont="1" applyFill="1" applyAlignment="1">
      <alignment horizontal="right" vertical="top" wrapText="1"/>
    </xf>
    <xf numFmtId="1" fontId="83" fillId="2" borderId="0" xfId="2825" applyNumberFormat="1" applyFont="1" applyFill="1" applyAlignment="1">
      <alignment horizontal="left" vertical="top" wrapText="1"/>
    </xf>
    <xf numFmtId="0" fontId="83" fillId="2" borderId="0" xfId="2825" applyFont="1" applyFill="1" applyAlignment="1">
      <alignment vertical="top" wrapText="1"/>
    </xf>
    <xf numFmtId="1" fontId="83" fillId="2" borderId="0" xfId="2825" applyNumberFormat="1" applyFont="1" applyFill="1" applyAlignment="1">
      <alignment horizontal="left" vertical="center"/>
    </xf>
    <xf numFmtId="188" fontId="83" fillId="2" borderId="0" xfId="2825" applyNumberFormat="1" applyFont="1" applyFill="1" applyAlignment="1">
      <alignment vertical="center"/>
    </xf>
    <xf numFmtId="1" fontId="83" fillId="2" borderId="0" xfId="2825" applyNumberFormat="1" applyFont="1" applyFill="1" applyAlignment="1">
      <alignment horizontal="right" vertical="center"/>
    </xf>
    <xf numFmtId="1" fontId="83" fillId="2" borderId="0" xfId="2825" applyNumberFormat="1" applyFont="1" applyFill="1" applyAlignment="1">
      <alignment vertical="center"/>
    </xf>
    <xf numFmtId="0" fontId="91" fillId="2" borderId="0" xfId="2825" applyFont="1" applyFill="1"/>
    <xf numFmtId="0" fontId="83" fillId="2" borderId="0" xfId="2831" applyFont="1" applyFill="1"/>
    <xf numFmtId="0" fontId="82" fillId="2" borderId="0" xfId="2831" applyFont="1" applyFill="1" applyAlignment="1">
      <alignment horizontal="left" indent="20"/>
    </xf>
    <xf numFmtId="0" fontId="82" fillId="2" borderId="0" xfId="2831" applyFont="1" applyFill="1" applyAlignment="1">
      <alignment horizontal="right" vertical="center" indent="1"/>
    </xf>
    <xf numFmtId="0" fontId="83" fillId="2" borderId="0" xfId="2831" applyFont="1" applyFill="1" applyAlignment="1">
      <alignment horizontal="right"/>
    </xf>
    <xf numFmtId="0" fontId="83" fillId="2" borderId="0" xfId="2831" applyFont="1" applyFill="1" applyAlignment="1">
      <alignment horizontal="left"/>
    </xf>
    <xf numFmtId="1" fontId="83" fillId="2" borderId="0" xfId="2831" applyNumberFormat="1" applyFont="1" applyFill="1" applyAlignment="1">
      <alignment horizontal="right"/>
    </xf>
    <xf numFmtId="1" fontId="83" fillId="2" borderId="0" xfId="2831" applyNumberFormat="1" applyFont="1" applyFill="1" applyAlignment="1">
      <alignment horizontal="left"/>
    </xf>
    <xf numFmtId="0" fontId="84" fillId="2" borderId="0" xfId="2832" applyFont="1" applyFill="1" applyBorder="1" applyAlignment="1">
      <alignment vertical="center"/>
    </xf>
    <xf numFmtId="0" fontId="85" fillId="2" borderId="0" xfId="2832" applyFont="1" applyFill="1" applyBorder="1" applyAlignment="1">
      <alignment vertical="center" wrapText="1"/>
    </xf>
    <xf numFmtId="0" fontId="83" fillId="4" borderId="0" xfId="2831" applyFont="1" applyFill="1"/>
    <xf numFmtId="187" fontId="86" fillId="4" borderId="0" xfId="2831" applyNumberFormat="1" applyFont="1" applyFill="1"/>
    <xf numFmtId="187" fontId="86" fillId="4" borderId="0" xfId="2831" applyNumberFormat="1" applyFont="1" applyFill="1" applyAlignment="1">
      <alignment horizontal="left" indent="1"/>
    </xf>
    <xf numFmtId="0" fontId="86" fillId="4" borderId="0" xfId="2831" applyFont="1" applyFill="1"/>
    <xf numFmtId="0" fontId="87" fillId="4" borderId="0" xfId="2831" applyFont="1" applyFill="1"/>
    <xf numFmtId="0" fontId="88" fillId="4" borderId="0" xfId="2831" applyFont="1" applyFill="1"/>
    <xf numFmtId="2" fontId="88" fillId="4" borderId="0" xfId="2831" applyNumberFormat="1" applyFont="1" applyFill="1" applyAlignment="1">
      <alignment horizontal="right"/>
    </xf>
    <xf numFmtId="2" fontId="88" fillId="4" borderId="0" xfId="2831" applyNumberFormat="1" applyFont="1" applyFill="1" applyAlignment="1">
      <alignment horizontal="right" wrapText="1"/>
    </xf>
    <xf numFmtId="14" fontId="88" fillId="4" borderId="0" xfId="2831" applyNumberFormat="1" applyFont="1" applyFill="1" applyAlignment="1">
      <alignment horizontal="left" indent="1"/>
    </xf>
    <xf numFmtId="14" fontId="88" fillId="4" borderId="0" xfId="2831" applyNumberFormat="1" applyFont="1" applyFill="1" applyAlignment="1">
      <alignment horizontal="right"/>
    </xf>
    <xf numFmtId="14" fontId="88" fillId="4" borderId="0" xfId="2831" applyNumberFormat="1" applyFont="1" applyFill="1" applyAlignment="1">
      <alignment horizontal="right" wrapText="1"/>
    </xf>
    <xf numFmtId="188" fontId="88" fillId="4" borderId="0" xfId="2831" applyNumberFormat="1" applyFont="1" applyFill="1" applyAlignment="1">
      <alignment horizontal="right"/>
    </xf>
    <xf numFmtId="1" fontId="83" fillId="4" borderId="0" xfId="2831" applyNumberFormat="1" applyFont="1" applyFill="1" applyAlignment="1">
      <alignment horizontal="right"/>
    </xf>
    <xf numFmtId="1" fontId="83" fillId="4" borderId="0" xfId="2831" applyNumberFormat="1" applyFont="1" applyFill="1" applyAlignment="1">
      <alignment horizontal="left"/>
    </xf>
    <xf numFmtId="188" fontId="88" fillId="4" borderId="0" xfId="2831" applyNumberFormat="1" applyFont="1" applyFill="1"/>
    <xf numFmtId="1" fontId="88" fillId="4" borderId="0" xfId="2831" applyNumberFormat="1" applyFont="1" applyFill="1"/>
    <xf numFmtId="0" fontId="88" fillId="4" borderId="0" xfId="2831" applyFont="1" applyFill="1" applyAlignment="1">
      <alignment horizontal="left" indent="1"/>
    </xf>
    <xf numFmtId="0" fontId="83" fillId="4" borderId="2" xfId="2831" applyFont="1" applyFill="1" applyBorder="1"/>
    <xf numFmtId="187" fontId="88" fillId="4" borderId="2" xfId="2831" applyNumberFormat="1" applyFont="1" applyFill="1" applyBorder="1" applyAlignment="1">
      <alignment horizontal="right"/>
    </xf>
    <xf numFmtId="187" fontId="88" fillId="4" borderId="2" xfId="2831" applyNumberFormat="1" applyFont="1" applyFill="1" applyBorder="1" applyAlignment="1">
      <alignment horizontal="left" indent="1"/>
    </xf>
    <xf numFmtId="0" fontId="88" fillId="4" borderId="2" xfId="2831" applyFont="1" applyFill="1" applyBorder="1"/>
    <xf numFmtId="2" fontId="88" fillId="4" borderId="2" xfId="2831" applyNumberFormat="1" applyFont="1" applyFill="1" applyBorder="1" applyAlignment="1">
      <alignment horizontal="right"/>
    </xf>
    <xf numFmtId="2" fontId="88" fillId="4" borderId="2" xfId="2831" applyNumberFormat="1" applyFont="1" applyFill="1" applyBorder="1" applyAlignment="1">
      <alignment horizontal="right" wrapText="1"/>
    </xf>
    <xf numFmtId="14" fontId="88" fillId="4" borderId="2" xfId="2831" applyNumberFormat="1" applyFont="1" applyFill="1" applyBorder="1" applyAlignment="1">
      <alignment horizontal="right" wrapText="1"/>
    </xf>
    <xf numFmtId="188" fontId="88" fillId="4" borderId="2" xfId="2831" applyNumberFormat="1" applyFont="1" applyFill="1" applyBorder="1" applyAlignment="1">
      <alignment horizontal="right"/>
    </xf>
    <xf numFmtId="1" fontId="83" fillId="4" borderId="2" xfId="2831" applyNumberFormat="1" applyFont="1" applyFill="1" applyBorder="1" applyAlignment="1">
      <alignment horizontal="right"/>
    </xf>
    <xf numFmtId="1" fontId="83" fillId="4" borderId="2" xfId="2831" applyNumberFormat="1" applyFont="1" applyFill="1" applyBorder="1" applyAlignment="1">
      <alignment horizontal="left"/>
    </xf>
    <xf numFmtId="188" fontId="88" fillId="4" borderId="2" xfId="2831" applyNumberFormat="1" applyFont="1" applyFill="1" applyBorder="1"/>
    <xf numFmtId="1" fontId="88" fillId="4" borderId="2" xfId="2831" applyNumberFormat="1" applyFont="1" applyFill="1" applyBorder="1"/>
    <xf numFmtId="0" fontId="88" fillId="4" borderId="2" xfId="2831" applyFont="1" applyFill="1" applyBorder="1" applyAlignment="1">
      <alignment horizontal="left" indent="1"/>
    </xf>
    <xf numFmtId="0" fontId="83" fillId="0" borderId="0" xfId="2831" applyFont="1"/>
    <xf numFmtId="190" fontId="83" fillId="0" borderId="0" xfId="2831" applyNumberFormat="1" applyFont="1" applyAlignment="1">
      <alignment horizontal="right"/>
    </xf>
    <xf numFmtId="190" fontId="83" fillId="0" borderId="0" xfId="2831" applyNumberFormat="1" applyFont="1"/>
    <xf numFmtId="0" fontId="83" fillId="0" borderId="0" xfId="2831" applyFont="1" applyAlignment="1">
      <alignment horizontal="right"/>
    </xf>
    <xf numFmtId="2" fontId="83" fillId="0" borderId="0" xfId="2831" applyNumberFormat="1" applyFont="1" applyAlignment="1">
      <alignment horizontal="right"/>
    </xf>
    <xf numFmtId="191" fontId="83" fillId="0" borderId="0" xfId="2831" applyNumberFormat="1" applyFont="1"/>
    <xf numFmtId="188" fontId="83" fillId="0" borderId="0" xfId="2831" applyNumberFormat="1" applyFont="1" applyAlignment="1">
      <alignment horizontal="right"/>
    </xf>
    <xf numFmtId="188" fontId="83" fillId="2" borderId="0" xfId="2831" applyNumberFormat="1" applyFont="1" applyFill="1"/>
    <xf numFmtId="1" fontId="83" fillId="2" borderId="0" xfId="2831" applyNumberFormat="1" applyFont="1" applyFill="1"/>
    <xf numFmtId="2" fontId="83" fillId="2" borderId="0" xfId="2831" applyNumberFormat="1" applyFont="1" applyFill="1" applyAlignment="1">
      <alignment horizontal="right"/>
    </xf>
    <xf numFmtId="188" fontId="83" fillId="2" borderId="0" xfId="2831" applyNumberFormat="1" applyFont="1" applyFill="1" applyAlignment="1">
      <alignment horizontal="right"/>
    </xf>
    <xf numFmtId="191" fontId="83" fillId="0" borderId="0" xfId="2831" applyNumberFormat="1" applyFont="1" applyAlignment="1">
      <alignment horizontal="right"/>
    </xf>
    <xf numFmtId="0" fontId="83" fillId="0" borderId="0" xfId="2831" applyFont="1" applyAlignment="1">
      <alignment horizontal="right" vertical="center"/>
    </xf>
    <xf numFmtId="188" fontId="83" fillId="2" borderId="0" xfId="2831" applyNumberFormat="1" applyFont="1" applyFill="1" applyAlignment="1">
      <alignment horizontal="left"/>
    </xf>
    <xf numFmtId="0" fontId="88" fillId="2" borderId="0" xfId="2831" applyFont="1" applyFill="1"/>
    <xf numFmtId="0" fontId="88" fillId="2" borderId="0" xfId="2831" quotePrefix="1" applyFont="1" applyFill="1" applyAlignment="1">
      <alignment horizontal="right"/>
    </xf>
    <xf numFmtId="189" fontId="88" fillId="0" borderId="0" xfId="2831" applyNumberFormat="1" applyFont="1"/>
    <xf numFmtId="190" fontId="88" fillId="0" borderId="0" xfId="2831" applyNumberFormat="1" applyFont="1"/>
    <xf numFmtId="0" fontId="88" fillId="0" borderId="0" xfId="2831" applyFont="1"/>
    <xf numFmtId="2" fontId="88" fillId="2" borderId="0" xfId="2831" applyNumberFormat="1" applyFont="1" applyFill="1" applyAlignment="1">
      <alignment horizontal="right"/>
    </xf>
    <xf numFmtId="2" fontId="88" fillId="0" borderId="0" xfId="2831" applyNumberFormat="1" applyFont="1" applyAlignment="1">
      <alignment horizontal="right"/>
    </xf>
    <xf numFmtId="187" fontId="88" fillId="0" borderId="0" xfId="2831" applyNumberFormat="1" applyFont="1" applyAlignment="1">
      <alignment horizontal="right"/>
    </xf>
    <xf numFmtId="192" fontId="88" fillId="0" borderId="0" xfId="2833" applyNumberFormat="1" applyFont="1" applyAlignment="1">
      <alignment horizontal="right"/>
    </xf>
    <xf numFmtId="188" fontId="88" fillId="0" borderId="0" xfId="2831" applyNumberFormat="1" applyFont="1" applyAlignment="1">
      <alignment horizontal="right"/>
    </xf>
    <xf numFmtId="2" fontId="88" fillId="2" borderId="0" xfId="2831" applyNumberFormat="1" applyFont="1" applyFill="1" applyAlignment="1">
      <alignment horizontal="left"/>
    </xf>
    <xf numFmtId="188" fontId="88" fillId="2" borderId="0" xfId="2831" applyNumberFormat="1" applyFont="1" applyFill="1"/>
    <xf numFmtId="188" fontId="88" fillId="2" borderId="0" xfId="2831" applyNumberFormat="1" applyFont="1" applyFill="1" applyAlignment="1">
      <alignment horizontal="left"/>
    </xf>
    <xf numFmtId="2" fontId="83" fillId="2" borderId="0" xfId="2831" applyNumberFormat="1" applyFont="1" applyFill="1"/>
    <xf numFmtId="0" fontId="88" fillId="2" borderId="0" xfId="2831" applyFont="1" applyFill="1" applyAlignment="1">
      <alignment horizontal="right"/>
    </xf>
    <xf numFmtId="0" fontId="88" fillId="0" borderId="0" xfId="2831" applyFont="1" applyAlignment="1">
      <alignment horizontal="right"/>
    </xf>
    <xf numFmtId="191" fontId="88" fillId="0" borderId="0" xfId="2831" applyNumberFormat="1" applyFont="1" applyAlignment="1">
      <alignment horizontal="right"/>
    </xf>
    <xf numFmtId="1" fontId="88" fillId="2" borderId="0" xfId="2831" applyNumberFormat="1" applyFont="1" applyFill="1" applyAlignment="1">
      <alignment horizontal="left"/>
    </xf>
    <xf numFmtId="190" fontId="88" fillId="2" borderId="0" xfId="2831" applyNumberFormat="1" applyFont="1" applyFill="1"/>
    <xf numFmtId="2" fontId="88" fillId="0" borderId="0" xfId="2831" applyNumberFormat="1" applyFont="1"/>
    <xf numFmtId="192" fontId="88" fillId="0" borderId="0" xfId="2831" applyNumberFormat="1" applyFont="1"/>
    <xf numFmtId="173" fontId="83" fillId="0" borderId="0" xfId="2831" applyNumberFormat="1" applyFont="1"/>
    <xf numFmtId="1" fontId="83" fillId="0" borderId="0" xfId="2831" applyNumberFormat="1" applyFont="1"/>
    <xf numFmtId="2" fontId="83" fillId="0" borderId="0" xfId="2831" applyNumberFormat="1" applyFont="1"/>
    <xf numFmtId="1" fontId="88" fillId="0" borderId="0" xfId="2831" applyNumberFormat="1" applyFont="1"/>
    <xf numFmtId="188" fontId="83" fillId="0" borderId="0" xfId="2831" applyNumberFormat="1" applyFont="1"/>
    <xf numFmtId="1" fontId="83" fillId="0" borderId="0" xfId="2831" applyNumberFormat="1" applyFont="1" applyAlignment="1">
      <alignment horizontal="right"/>
    </xf>
    <xf numFmtId="188" fontId="83" fillId="0" borderId="0" xfId="2831" applyNumberFormat="1" applyFont="1" applyAlignment="1">
      <alignment horizontal="left"/>
    </xf>
    <xf numFmtId="187" fontId="88" fillId="0" borderId="0" xfId="2831" applyNumberFormat="1" applyFont="1" applyAlignment="1">
      <alignment horizontal="left"/>
    </xf>
    <xf numFmtId="1" fontId="83" fillId="0" borderId="0" xfId="2831" applyNumberFormat="1" applyFont="1" applyAlignment="1">
      <alignment horizontal="left"/>
    </xf>
    <xf numFmtId="191" fontId="83" fillId="2" borderId="0" xfId="2831" applyNumberFormat="1" applyFont="1" applyFill="1" applyAlignment="1">
      <alignment horizontal="right"/>
    </xf>
    <xf numFmtId="193" fontId="88" fillId="0" borderId="0" xfId="2831" applyNumberFormat="1" applyFont="1"/>
    <xf numFmtId="187" fontId="88" fillId="0" borderId="0" xfId="2831" quotePrefix="1" applyNumberFormat="1" applyFont="1" applyAlignment="1">
      <alignment horizontal="right"/>
    </xf>
    <xf numFmtId="4" fontId="88" fillId="2" borderId="0" xfId="2831" applyNumberFormat="1" applyFont="1" applyFill="1"/>
    <xf numFmtId="2" fontId="88" fillId="2" borderId="0" xfId="2831" applyNumberFormat="1" applyFont="1" applyFill="1"/>
    <xf numFmtId="1" fontId="88" fillId="2" borderId="0" xfId="2831" applyNumberFormat="1" applyFont="1" applyFill="1" applyAlignment="1">
      <alignment horizontal="right"/>
    </xf>
    <xf numFmtId="4" fontId="88" fillId="0" borderId="0" xfId="2831" applyNumberFormat="1" applyFont="1"/>
    <xf numFmtId="188" fontId="89" fillId="0" borderId="0" xfId="2831" applyNumberFormat="1" applyFont="1"/>
    <xf numFmtId="1" fontId="88" fillId="2" borderId="0" xfId="2831" applyNumberFormat="1" applyFont="1" applyFill="1"/>
    <xf numFmtId="187" fontId="88" fillId="0" borderId="0" xfId="2831" quotePrefix="1" applyNumberFormat="1" applyFont="1" applyAlignment="1">
      <alignment horizontal="left"/>
    </xf>
    <xf numFmtId="14" fontId="88" fillId="4" borderId="2" xfId="2831" applyNumberFormat="1" applyFont="1" applyFill="1" applyBorder="1" applyAlignment="1">
      <alignment horizontal="right"/>
    </xf>
    <xf numFmtId="0" fontId="2" fillId="2" borderId="0" xfId="2831" applyFill="1"/>
    <xf numFmtId="4" fontId="2" fillId="0" borderId="0" xfId="2831" applyNumberFormat="1" applyAlignment="1">
      <alignment horizontal="right"/>
    </xf>
    <xf numFmtId="0" fontId="83" fillId="0" borderId="0" xfId="2831" applyFont="1" applyAlignment="1">
      <alignment horizontal="left"/>
    </xf>
    <xf numFmtId="0" fontId="88" fillId="0" borderId="0" xfId="2831" quotePrefix="1" applyFont="1"/>
    <xf numFmtId="187" fontId="88" fillId="0" borderId="0" xfId="2831" applyNumberFormat="1" applyFont="1"/>
    <xf numFmtId="2" fontId="85" fillId="2" borderId="0" xfId="2831" applyNumberFormat="1" applyFont="1" applyFill="1"/>
    <xf numFmtId="2" fontId="85" fillId="0" borderId="0" xfId="2831" applyNumberFormat="1" applyFont="1"/>
    <xf numFmtId="1" fontId="85" fillId="2" borderId="0" xfId="2831" applyNumberFormat="1" applyFont="1" applyFill="1" applyAlignment="1">
      <alignment horizontal="right"/>
    </xf>
    <xf numFmtId="192" fontId="85" fillId="0" borderId="0" xfId="2831" applyNumberFormat="1" applyFont="1"/>
    <xf numFmtId="2" fontId="83" fillId="2" borderId="0" xfId="2831" applyNumberFormat="1" applyFont="1" applyFill="1" applyAlignment="1">
      <alignment horizontal="left"/>
    </xf>
    <xf numFmtId="0" fontId="85" fillId="2" borderId="0" xfId="2831" applyFont="1" applyFill="1" applyAlignment="1">
      <alignment horizontal="right"/>
    </xf>
    <xf numFmtId="0" fontId="85" fillId="0" borderId="0" xfId="2831" applyFont="1" applyAlignment="1">
      <alignment horizontal="right"/>
    </xf>
    <xf numFmtId="2" fontId="85" fillId="0" borderId="0" xfId="2831" applyNumberFormat="1" applyFont="1" applyAlignment="1">
      <alignment horizontal="right"/>
    </xf>
    <xf numFmtId="191" fontId="85" fillId="0" borderId="0" xfId="2831" applyNumberFormat="1" applyFont="1" applyAlignment="1">
      <alignment horizontal="right"/>
    </xf>
    <xf numFmtId="0" fontId="29" fillId="0" borderId="0" xfId="2831" applyFont="1"/>
    <xf numFmtId="0" fontId="29" fillId="2" borderId="0" xfId="2831" applyFont="1" applyFill="1"/>
    <xf numFmtId="0" fontId="29" fillId="2" borderId="0" xfId="2831" applyFont="1" applyFill="1" applyAlignment="1">
      <alignment horizontal="right"/>
    </xf>
    <xf numFmtId="2" fontId="29" fillId="0" borderId="0" xfId="2831" applyNumberFormat="1" applyFont="1" applyAlignment="1">
      <alignment horizontal="right"/>
    </xf>
    <xf numFmtId="191" fontId="29" fillId="0" borderId="0" xfId="2831" applyNumberFormat="1" applyFont="1" applyAlignment="1">
      <alignment horizontal="right"/>
    </xf>
    <xf numFmtId="0" fontId="29" fillId="0" borderId="0" xfId="2831" applyFont="1" applyAlignment="1">
      <alignment horizontal="right"/>
    </xf>
    <xf numFmtId="188" fontId="29" fillId="0" borderId="0" xfId="2831" applyNumberFormat="1" applyFont="1" applyAlignment="1">
      <alignment horizontal="right"/>
    </xf>
    <xf numFmtId="190" fontId="83" fillId="2" borderId="0" xfId="2831" applyNumberFormat="1" applyFont="1" applyFill="1"/>
    <xf numFmtId="187" fontId="88" fillId="2" borderId="0" xfId="2831" applyNumberFormat="1" applyFont="1" applyFill="1"/>
    <xf numFmtId="189" fontId="88" fillId="2" borderId="0" xfId="2831" applyNumberFormat="1" applyFont="1" applyFill="1"/>
    <xf numFmtId="3" fontId="88" fillId="2" borderId="0" xfId="2831" applyNumberFormat="1" applyFont="1" applyFill="1" applyAlignment="1">
      <alignment horizontal="right"/>
    </xf>
    <xf numFmtId="192" fontId="88" fillId="2" borderId="0" xfId="2831" applyNumberFormat="1" applyFont="1" applyFill="1"/>
    <xf numFmtId="173" fontId="83" fillId="2" borderId="0" xfId="2831" applyNumberFormat="1" applyFont="1" applyFill="1"/>
    <xf numFmtId="4" fontId="83" fillId="2" borderId="0" xfId="2831" applyNumberFormat="1" applyFont="1" applyFill="1" applyAlignment="1">
      <alignment horizontal="right"/>
    </xf>
    <xf numFmtId="191" fontId="83" fillId="2" borderId="0" xfId="2831" applyNumberFormat="1" applyFont="1" applyFill="1"/>
    <xf numFmtId="0" fontId="91" fillId="2" borderId="0" xfId="2831" applyFont="1" applyFill="1"/>
    <xf numFmtId="0" fontId="90" fillId="2" borderId="0" xfId="2831" applyFont="1" applyFill="1"/>
    <xf numFmtId="187" fontId="88" fillId="2" borderId="0" xfId="2831" applyNumberFormat="1" applyFont="1" applyFill="1" applyAlignment="1">
      <alignment horizontal="left"/>
    </xf>
    <xf numFmtId="4" fontId="88" fillId="2" borderId="0" xfId="2831" applyNumberFormat="1" applyFont="1" applyFill="1" applyAlignment="1">
      <alignment horizontal="right"/>
    </xf>
    <xf numFmtId="4" fontId="83" fillId="2" borderId="0" xfId="2831" applyNumberFormat="1" applyFont="1" applyFill="1"/>
    <xf numFmtId="187" fontId="88" fillId="2" borderId="0" xfId="2831" quotePrefix="1" applyNumberFormat="1" applyFont="1" applyFill="1" applyAlignment="1">
      <alignment horizontal="right"/>
    </xf>
    <xf numFmtId="173" fontId="88" fillId="2" borderId="0" xfId="2831" applyNumberFormat="1" applyFont="1" applyFill="1"/>
    <xf numFmtId="188" fontId="89" fillId="2" borderId="0" xfId="2831" applyNumberFormat="1" applyFont="1" applyFill="1"/>
    <xf numFmtId="1" fontId="89" fillId="2" borderId="0" xfId="2831" applyNumberFormat="1" applyFont="1" applyFill="1" applyAlignment="1">
      <alignment horizontal="right"/>
    </xf>
    <xf numFmtId="1" fontId="89" fillId="2" borderId="0" xfId="2831" applyNumberFormat="1" applyFont="1" applyFill="1" applyAlignment="1">
      <alignment horizontal="left"/>
    </xf>
    <xf numFmtId="1" fontId="89" fillId="2" borderId="0" xfId="2831" applyNumberFormat="1" applyFont="1" applyFill="1"/>
    <xf numFmtId="0" fontId="83" fillId="2" borderId="0" xfId="2831" applyFont="1" applyFill="1" applyAlignment="1">
      <alignment horizontal="left" vertical="center"/>
    </xf>
    <xf numFmtId="2" fontId="89" fillId="2" borderId="0" xfId="2831" applyNumberFormat="1" applyFont="1" applyFill="1"/>
    <xf numFmtId="0" fontId="85" fillId="2" borderId="0" xfId="2831" applyFont="1" applyFill="1"/>
    <xf numFmtId="0" fontId="89" fillId="2" borderId="0" xfId="2831" applyFont="1" applyFill="1"/>
    <xf numFmtId="187" fontId="82" fillId="2" borderId="0" xfId="2831" applyNumberFormat="1" applyFont="1" applyFill="1"/>
    <xf numFmtId="187" fontId="89" fillId="2" borderId="0" xfId="2831" applyNumberFormat="1" applyFont="1" applyFill="1"/>
    <xf numFmtId="0" fontId="83" fillId="0" borderId="0" xfId="2831" applyFont="1" applyAlignment="1">
      <alignment vertical="center"/>
    </xf>
    <xf numFmtId="188" fontId="83" fillId="2" borderId="0" xfId="2831" applyNumberFormat="1" applyFont="1" applyFill="1" applyAlignment="1">
      <alignment horizontal="left" vertical="center"/>
    </xf>
    <xf numFmtId="188" fontId="83" fillId="2" borderId="0" xfId="2831" applyNumberFormat="1" applyFont="1" applyFill="1" applyAlignment="1">
      <alignment horizontal="left" vertical="center" wrapText="1"/>
    </xf>
    <xf numFmtId="1" fontId="83" fillId="2" borderId="0" xfId="2831" applyNumberFormat="1" applyFont="1" applyFill="1" applyAlignment="1">
      <alignment horizontal="right" vertical="center" wrapText="1"/>
    </xf>
    <xf numFmtId="1" fontId="83" fillId="2" borderId="0" xfId="2831" applyNumberFormat="1" applyFont="1" applyFill="1" applyAlignment="1">
      <alignment horizontal="left" vertical="center" wrapText="1"/>
    </xf>
    <xf numFmtId="188" fontId="83" fillId="2" borderId="0" xfId="2831" applyNumberFormat="1" applyFont="1" applyFill="1" applyAlignment="1">
      <alignment vertical="center" wrapText="1"/>
    </xf>
    <xf numFmtId="188" fontId="89" fillId="2" borderId="0" xfId="2831" applyNumberFormat="1" applyFont="1" applyFill="1" applyAlignment="1">
      <alignment vertical="center"/>
    </xf>
    <xf numFmtId="0" fontId="83" fillId="2" borderId="0" xfId="2831" applyFont="1" applyFill="1" applyAlignment="1">
      <alignment vertical="center"/>
    </xf>
    <xf numFmtId="0" fontId="83" fillId="2" borderId="0" xfId="2831" applyFont="1" applyFill="1" applyAlignment="1">
      <alignment horizontal="left" vertical="top" wrapText="1"/>
    </xf>
    <xf numFmtId="1" fontId="83" fillId="2" borderId="0" xfId="2831" applyNumberFormat="1" applyFont="1" applyFill="1" applyAlignment="1">
      <alignment horizontal="right" vertical="top" wrapText="1"/>
    </xf>
    <xf numFmtId="1" fontId="83" fillId="2" borderId="0" xfId="2831" applyNumberFormat="1" applyFont="1" applyFill="1" applyAlignment="1">
      <alignment horizontal="left" vertical="top" wrapText="1"/>
    </xf>
    <xf numFmtId="0" fontId="83" fillId="2" borderId="0" xfId="2831" applyFont="1" applyFill="1" applyAlignment="1">
      <alignment vertical="top" wrapText="1"/>
    </xf>
    <xf numFmtId="1" fontId="83" fillId="2" borderId="0" xfId="2831" applyNumberFormat="1" applyFont="1" applyFill="1" applyAlignment="1">
      <alignment horizontal="left" vertical="center"/>
    </xf>
    <xf numFmtId="188" fontId="83" fillId="2" borderId="0" xfId="2831" applyNumberFormat="1" applyFont="1" applyFill="1" applyAlignment="1">
      <alignment vertical="center"/>
    </xf>
    <xf numFmtId="1" fontId="83" fillId="2" borderId="0" xfId="2831" applyNumberFormat="1" applyFont="1" applyFill="1" applyAlignment="1">
      <alignment horizontal="right" vertical="center"/>
    </xf>
    <xf numFmtId="1" fontId="83" fillId="2" borderId="0" xfId="2831" applyNumberFormat="1" applyFont="1" applyFill="1" applyAlignment="1">
      <alignment vertical="center"/>
    </xf>
    <xf numFmtId="0" fontId="82" fillId="2" borderId="0" xfId="2822" applyFont="1" applyFill="1" applyAlignment="1">
      <alignment horizontal="left" indent="20"/>
    </xf>
    <xf numFmtId="0" fontId="82" fillId="2" borderId="0" xfId="2822" applyFont="1" applyFill="1" applyAlignment="1">
      <alignment horizontal="right" vertical="center" indent="1"/>
    </xf>
    <xf numFmtId="0" fontId="83" fillId="2" borderId="0" xfId="2822" applyFont="1" applyFill="1" applyAlignment="1">
      <alignment horizontal="right"/>
    </xf>
    <xf numFmtId="0" fontId="83" fillId="2" borderId="0" xfId="2822" applyFont="1" applyFill="1" applyAlignment="1">
      <alignment horizontal="left"/>
    </xf>
    <xf numFmtId="0" fontId="83" fillId="2" borderId="0" xfId="2822" applyFont="1" applyFill="1"/>
    <xf numFmtId="1" fontId="83" fillId="2" borderId="0" xfId="2822" applyNumberFormat="1" applyFont="1" applyFill="1" applyAlignment="1">
      <alignment horizontal="right"/>
    </xf>
    <xf numFmtId="1" fontId="83" fillId="2" borderId="0" xfId="2822" applyNumberFormat="1" applyFont="1" applyFill="1" applyAlignment="1">
      <alignment horizontal="left"/>
    </xf>
    <xf numFmtId="187" fontId="87" fillId="4" borderId="0" xfId="2822" applyNumberFormat="1" applyFont="1" applyFill="1"/>
    <xf numFmtId="187" fontId="87" fillId="4" borderId="0" xfId="2822" applyNumberFormat="1" applyFont="1" applyFill="1" applyAlignment="1">
      <alignment horizontal="left" indent="1"/>
    </xf>
    <xf numFmtId="0" fontId="87" fillId="4" borderId="0" xfId="2822" applyFont="1" applyFill="1"/>
    <xf numFmtId="0" fontId="88" fillId="4" borderId="0" xfId="2822" applyFont="1" applyFill="1"/>
    <xf numFmtId="2" fontId="88" fillId="4" borderId="0" xfId="2822" applyNumberFormat="1" applyFont="1" applyFill="1" applyAlignment="1">
      <alignment horizontal="right"/>
    </xf>
    <xf numFmtId="2" fontId="88" fillId="4" borderId="0" xfId="2822" applyNumberFormat="1" applyFont="1" applyFill="1" applyAlignment="1">
      <alignment horizontal="right" wrapText="1"/>
    </xf>
    <xf numFmtId="14" fontId="88" fillId="4" borderId="0" xfId="2822" applyNumberFormat="1" applyFont="1" applyFill="1" applyAlignment="1">
      <alignment horizontal="left" indent="1"/>
    </xf>
    <xf numFmtId="14" fontId="88" fillId="4" borderId="0" xfId="2822" applyNumberFormat="1" applyFont="1" applyFill="1" applyAlignment="1">
      <alignment horizontal="right"/>
    </xf>
    <xf numFmtId="14" fontId="88" fillId="4" borderId="0" xfId="2822" applyNumberFormat="1" applyFont="1" applyFill="1" applyAlignment="1">
      <alignment horizontal="right" wrapText="1"/>
    </xf>
    <xf numFmtId="188" fontId="88" fillId="4" borderId="0" xfId="2822" applyNumberFormat="1" applyFont="1" applyFill="1" applyAlignment="1">
      <alignment horizontal="right"/>
    </xf>
    <xf numFmtId="1" fontId="83" fillId="4" borderId="0" xfId="2822" applyNumberFormat="1" applyFont="1" applyFill="1" applyAlignment="1">
      <alignment horizontal="right"/>
    </xf>
    <xf numFmtId="188" fontId="88" fillId="4" borderId="0" xfId="2822" applyNumberFormat="1" applyFont="1" applyFill="1"/>
    <xf numFmtId="1" fontId="88" fillId="4" borderId="0" xfId="2822" applyNumberFormat="1" applyFont="1" applyFill="1"/>
    <xf numFmtId="0" fontId="88" fillId="4" borderId="0" xfId="2822" applyFont="1" applyFill="1" applyAlignment="1">
      <alignment horizontal="left" indent="1"/>
    </xf>
    <xf numFmtId="0" fontId="83" fillId="4" borderId="0" xfId="2822" applyFont="1" applyFill="1"/>
    <xf numFmtId="187" fontId="88" fillId="4" borderId="2" xfId="2822" applyNumberFormat="1" applyFont="1" applyFill="1" applyBorder="1"/>
    <xf numFmtId="187" fontId="88" fillId="4" borderId="2" xfId="2822" applyNumberFormat="1" applyFont="1" applyFill="1" applyBorder="1" applyAlignment="1">
      <alignment horizontal="left" indent="1"/>
    </xf>
    <xf numFmtId="0" fontId="88" fillId="4" borderId="2" xfId="2822" applyFont="1" applyFill="1" applyBorder="1"/>
    <xf numFmtId="2" fontId="88" fillId="4" borderId="2" xfId="2822" applyNumberFormat="1" applyFont="1" applyFill="1" applyBorder="1" applyAlignment="1">
      <alignment horizontal="right"/>
    </xf>
    <xf numFmtId="2" fontId="88" fillId="4" borderId="2" xfId="2822" applyNumberFormat="1" applyFont="1" applyFill="1" applyBorder="1" applyAlignment="1">
      <alignment horizontal="right" wrapText="1"/>
    </xf>
    <xf numFmtId="14" fontId="88" fillId="4" borderId="2" xfId="2822" applyNumberFormat="1" applyFont="1" applyFill="1" applyBorder="1" applyAlignment="1">
      <alignment horizontal="right"/>
    </xf>
    <xf numFmtId="14" fontId="88" fillId="4" borderId="2" xfId="2822" applyNumberFormat="1" applyFont="1" applyFill="1" applyBorder="1" applyAlignment="1">
      <alignment horizontal="right" wrapText="1"/>
    </xf>
    <xf numFmtId="188" fontId="88" fillId="4" borderId="2" xfId="2822" applyNumberFormat="1" applyFont="1" applyFill="1" applyBorder="1" applyAlignment="1">
      <alignment horizontal="right"/>
    </xf>
    <xf numFmtId="1" fontId="83" fillId="4" borderId="2" xfId="2822" applyNumberFormat="1" applyFont="1" applyFill="1" applyBorder="1" applyAlignment="1">
      <alignment horizontal="right"/>
    </xf>
    <xf numFmtId="188" fontId="88" fillId="4" borderId="2" xfId="2822" applyNumberFormat="1" applyFont="1" applyFill="1" applyBorder="1"/>
    <xf numFmtId="1" fontId="88" fillId="4" borderId="2" xfId="2822" applyNumberFormat="1" applyFont="1" applyFill="1" applyBorder="1"/>
    <xf numFmtId="0" fontId="88" fillId="4" borderId="2" xfId="2822" applyFont="1" applyFill="1" applyBorder="1" applyAlignment="1">
      <alignment horizontal="left" indent="1"/>
    </xf>
    <xf numFmtId="0" fontId="83" fillId="4" borderId="2" xfId="2822" applyFont="1" applyFill="1" applyBorder="1"/>
    <xf numFmtId="190" fontId="83" fillId="0" borderId="0" xfId="2822" applyNumberFormat="1" applyFont="1" applyAlignment="1">
      <alignment horizontal="left"/>
    </xf>
    <xf numFmtId="190" fontId="83" fillId="0" borderId="0" xfId="2822" applyNumberFormat="1" applyFont="1"/>
    <xf numFmtId="0" fontId="83" fillId="0" borderId="0" xfId="2822" applyFont="1"/>
    <xf numFmtId="0" fontId="83" fillId="0" borderId="0" xfId="2822" applyFont="1" applyAlignment="1">
      <alignment horizontal="right"/>
    </xf>
    <xf numFmtId="2" fontId="83" fillId="0" borderId="0" xfId="2822" applyNumberFormat="1" applyFont="1" applyAlignment="1">
      <alignment horizontal="right"/>
    </xf>
    <xf numFmtId="191" fontId="83" fillId="0" borderId="0" xfId="2822" applyNumberFormat="1" applyFont="1"/>
    <xf numFmtId="193" fontId="83" fillId="0" borderId="0" xfId="2822" applyNumberFormat="1" applyFont="1" applyAlignment="1">
      <alignment horizontal="right"/>
    </xf>
    <xf numFmtId="188" fontId="83" fillId="0" borderId="0" xfId="2822" applyNumberFormat="1" applyFont="1" applyAlignment="1">
      <alignment horizontal="right"/>
    </xf>
    <xf numFmtId="1" fontId="2" fillId="2" borderId="0" xfId="2822" applyNumberFormat="1" applyFill="1" applyAlignment="1">
      <alignment horizontal="left"/>
    </xf>
    <xf numFmtId="188" fontId="83" fillId="2" borderId="0" xfId="2822" applyNumberFormat="1" applyFont="1" applyFill="1"/>
    <xf numFmtId="1" fontId="83" fillId="2" borderId="0" xfId="2822" applyNumberFormat="1" applyFont="1" applyFill="1"/>
    <xf numFmtId="2" fontId="83" fillId="2" borderId="0" xfId="2822" applyNumberFormat="1" applyFont="1" applyFill="1" applyAlignment="1">
      <alignment horizontal="right"/>
    </xf>
    <xf numFmtId="188" fontId="83" fillId="2" borderId="0" xfId="2822" applyNumberFormat="1" applyFont="1" applyFill="1" applyAlignment="1">
      <alignment horizontal="right"/>
    </xf>
    <xf numFmtId="0" fontId="2" fillId="2" borderId="0" xfId="2822" applyFill="1"/>
    <xf numFmtId="190" fontId="83" fillId="0" borderId="0" xfId="2822" applyNumberFormat="1" applyFont="1" applyAlignment="1">
      <alignment horizontal="left" vertical="center"/>
    </xf>
    <xf numFmtId="190" fontId="83" fillId="0" borderId="0" xfId="2822" applyNumberFormat="1" applyFont="1" applyAlignment="1">
      <alignment vertical="center"/>
    </xf>
    <xf numFmtId="0" fontId="83" fillId="0" borderId="0" xfId="2822" applyFont="1" applyAlignment="1">
      <alignment vertical="center"/>
    </xf>
    <xf numFmtId="0" fontId="83" fillId="0" borderId="0" xfId="2822" applyFont="1" applyAlignment="1">
      <alignment horizontal="right" vertical="center"/>
    </xf>
    <xf numFmtId="2" fontId="83" fillId="0" borderId="0" xfId="2822" applyNumberFormat="1" applyFont="1" applyAlignment="1">
      <alignment horizontal="right" vertical="center"/>
    </xf>
    <xf numFmtId="191" fontId="83" fillId="0" borderId="0" xfId="2822" applyNumberFormat="1" applyFont="1" applyAlignment="1">
      <alignment vertical="center"/>
    </xf>
    <xf numFmtId="193" fontId="83" fillId="0" borderId="0" xfId="2822" applyNumberFormat="1" applyFont="1" applyAlignment="1">
      <alignment horizontal="right" vertical="center"/>
    </xf>
    <xf numFmtId="188" fontId="83" fillId="0" borderId="0" xfId="2822" applyNumberFormat="1" applyFont="1" applyAlignment="1">
      <alignment horizontal="right" vertical="center"/>
    </xf>
    <xf numFmtId="1" fontId="83" fillId="2" borderId="0" xfId="2822" applyNumberFormat="1" applyFont="1" applyFill="1" applyAlignment="1">
      <alignment horizontal="right" vertical="center"/>
    </xf>
    <xf numFmtId="1" fontId="2" fillId="2" borderId="0" xfId="2822" applyNumberFormat="1" applyFill="1" applyAlignment="1">
      <alignment vertical="center"/>
    </xf>
    <xf numFmtId="1" fontId="83" fillId="2" borderId="0" xfId="2822" applyNumberFormat="1" applyFont="1" applyFill="1" applyAlignment="1">
      <alignment horizontal="left" vertical="center"/>
    </xf>
    <xf numFmtId="188" fontId="83" fillId="2" borderId="0" xfId="2822" applyNumberFormat="1" applyFont="1" applyFill="1" applyAlignment="1">
      <alignment vertical="center"/>
    </xf>
    <xf numFmtId="1" fontId="83" fillId="2" borderId="0" xfId="2822" applyNumberFormat="1" applyFont="1" applyFill="1" applyAlignment="1">
      <alignment vertical="center"/>
    </xf>
    <xf numFmtId="2" fontId="83" fillId="2" borderId="0" xfId="2822" applyNumberFormat="1" applyFont="1" applyFill="1" applyAlignment="1">
      <alignment horizontal="right" vertical="center"/>
    </xf>
    <xf numFmtId="188" fontId="83" fillId="2" borderId="0" xfId="2822" applyNumberFormat="1" applyFont="1" applyFill="1" applyAlignment="1">
      <alignment horizontal="right" vertical="center"/>
    </xf>
    <xf numFmtId="0" fontId="83" fillId="2" borderId="0" xfId="2822" applyFont="1" applyFill="1" applyAlignment="1">
      <alignment vertical="center"/>
    </xf>
    <xf numFmtId="191" fontId="83" fillId="0" borderId="0" xfId="2822" applyNumberFormat="1" applyFont="1" applyAlignment="1">
      <alignment horizontal="right"/>
    </xf>
    <xf numFmtId="188" fontId="83" fillId="2" borderId="0" xfId="2822" applyNumberFormat="1" applyFont="1" applyFill="1" applyAlignment="1">
      <alignment horizontal="left"/>
    </xf>
    <xf numFmtId="0" fontId="2" fillId="2" borderId="0" xfId="2822" applyFill="1" applyAlignment="1">
      <alignment wrapText="1"/>
    </xf>
    <xf numFmtId="188" fontId="88" fillId="2" borderId="0" xfId="2822" applyNumberFormat="1" applyFont="1" applyFill="1" applyAlignment="1">
      <alignment horizontal="left"/>
    </xf>
    <xf numFmtId="0" fontId="88" fillId="2" borderId="0" xfId="2822" applyFont="1" applyFill="1"/>
    <xf numFmtId="0" fontId="88" fillId="2" borderId="0" xfId="2822" quotePrefix="1" applyFont="1" applyFill="1" applyAlignment="1">
      <alignment horizontal="left"/>
    </xf>
    <xf numFmtId="189" fontId="88" fillId="0" borderId="0" xfId="2822" applyNumberFormat="1" applyFont="1"/>
    <xf numFmtId="190" fontId="88" fillId="0" borderId="0" xfId="2822" applyNumberFormat="1" applyFont="1"/>
    <xf numFmtId="0" fontId="88" fillId="0" borderId="0" xfId="2822" applyFont="1"/>
    <xf numFmtId="2" fontId="88" fillId="0" borderId="0" xfId="2822" applyNumberFormat="1" applyFont="1"/>
    <xf numFmtId="2" fontId="88" fillId="0" borderId="0" xfId="2822" applyNumberFormat="1" applyFont="1" applyAlignment="1">
      <alignment horizontal="right"/>
    </xf>
    <xf numFmtId="193" fontId="88" fillId="0" borderId="0" xfId="2833" applyNumberFormat="1" applyFont="1" applyAlignment="1">
      <alignment horizontal="right"/>
    </xf>
    <xf numFmtId="188" fontId="88" fillId="0" borderId="0" xfId="2822" applyNumberFormat="1" applyFont="1" applyAlignment="1">
      <alignment horizontal="right"/>
    </xf>
    <xf numFmtId="2" fontId="88" fillId="2" borderId="0" xfId="2822" applyNumberFormat="1" applyFont="1" applyFill="1" applyAlignment="1">
      <alignment horizontal="left"/>
    </xf>
    <xf numFmtId="188" fontId="88" fillId="2" borderId="0" xfId="2822" applyNumberFormat="1" applyFont="1" applyFill="1"/>
    <xf numFmtId="2" fontId="83" fillId="2" borderId="0" xfId="2822" applyNumberFormat="1" applyFont="1" applyFill="1"/>
    <xf numFmtId="187" fontId="88" fillId="0" borderId="0" xfId="2822" applyNumberFormat="1" applyFont="1" applyAlignment="1">
      <alignment horizontal="left"/>
    </xf>
    <xf numFmtId="0" fontId="88" fillId="0" borderId="0" xfId="2822" applyFont="1" applyAlignment="1">
      <alignment horizontal="right"/>
    </xf>
    <xf numFmtId="1" fontId="88" fillId="0" borderId="0" xfId="2822" applyNumberFormat="1" applyFont="1" applyAlignment="1">
      <alignment horizontal="right"/>
    </xf>
    <xf numFmtId="191" fontId="88" fillId="0" borderId="0" xfId="2822" applyNumberFormat="1" applyFont="1" applyAlignment="1">
      <alignment horizontal="right"/>
    </xf>
    <xf numFmtId="3" fontId="88" fillId="0" borderId="0" xfId="2822" applyNumberFormat="1" applyFont="1" applyAlignment="1">
      <alignment horizontal="right"/>
    </xf>
    <xf numFmtId="1" fontId="88" fillId="2" borderId="0" xfId="2822" applyNumberFormat="1" applyFont="1" applyFill="1" applyAlignment="1">
      <alignment horizontal="left"/>
    </xf>
    <xf numFmtId="190" fontId="83" fillId="2" borderId="0" xfId="2822" applyNumberFormat="1" applyFont="1" applyFill="1" applyAlignment="1">
      <alignment horizontal="left"/>
    </xf>
    <xf numFmtId="190" fontId="83" fillId="2" borderId="0" xfId="2822" applyNumberFormat="1" applyFont="1" applyFill="1"/>
    <xf numFmtId="191" fontId="83" fillId="2" borderId="0" xfId="2822" applyNumberFormat="1" applyFont="1" applyFill="1"/>
    <xf numFmtId="193" fontId="83" fillId="2" borderId="0" xfId="2822" applyNumberFormat="1" applyFont="1" applyFill="1" applyAlignment="1">
      <alignment horizontal="right"/>
    </xf>
    <xf numFmtId="193" fontId="88" fillId="0" borderId="0" xfId="2822" applyNumberFormat="1" applyFont="1" applyAlignment="1">
      <alignment horizontal="right"/>
    </xf>
    <xf numFmtId="173" fontId="88" fillId="0" borderId="0" xfId="2833" applyNumberFormat="1" applyFont="1" applyAlignment="1">
      <alignment horizontal="right"/>
    </xf>
    <xf numFmtId="1" fontId="83" fillId="0" borderId="0" xfId="2822" applyNumberFormat="1" applyFont="1" applyAlignment="1">
      <alignment horizontal="right"/>
    </xf>
    <xf numFmtId="1" fontId="88" fillId="0" borderId="0" xfId="2822" applyNumberFormat="1" applyFont="1"/>
    <xf numFmtId="173" fontId="83" fillId="0" borderId="0" xfId="2822" applyNumberFormat="1" applyFont="1"/>
    <xf numFmtId="190" fontId="29" fillId="0" borderId="0" xfId="2822" applyNumberFormat="1" applyFont="1" applyAlignment="1">
      <alignment horizontal="left"/>
    </xf>
    <xf numFmtId="190" fontId="29" fillId="0" borderId="0" xfId="2822" applyNumberFormat="1" applyFont="1"/>
    <xf numFmtId="0" fontId="29" fillId="0" borderId="0" xfId="2822" applyFont="1"/>
    <xf numFmtId="0" fontId="29" fillId="2" borderId="0" xfId="2822" applyFont="1" applyFill="1" applyAlignment="1">
      <alignment horizontal="right"/>
    </xf>
    <xf numFmtId="2" fontId="29" fillId="0" borderId="0" xfId="2822" applyNumberFormat="1" applyFont="1"/>
    <xf numFmtId="191" fontId="29" fillId="0" borderId="0" xfId="2822" applyNumberFormat="1" applyFont="1"/>
    <xf numFmtId="0" fontId="29" fillId="0" borderId="0" xfId="2822" applyFont="1" applyAlignment="1">
      <alignment horizontal="right"/>
    </xf>
    <xf numFmtId="188" fontId="29" fillId="0" borderId="0" xfId="2822" applyNumberFormat="1" applyFont="1"/>
    <xf numFmtId="188" fontId="29" fillId="0" borderId="0" xfId="2822" applyNumberFormat="1" applyFont="1" applyAlignment="1">
      <alignment horizontal="right"/>
    </xf>
    <xf numFmtId="2" fontId="83" fillId="0" borderId="0" xfId="2822" applyNumberFormat="1" applyFont="1"/>
    <xf numFmtId="188" fontId="83" fillId="0" borderId="0" xfId="2822" applyNumberFormat="1" applyFont="1"/>
    <xf numFmtId="0" fontId="91" fillId="0" borderId="0" xfId="2822" applyFont="1"/>
    <xf numFmtId="4" fontId="88" fillId="0" borderId="0" xfId="2822" applyNumberFormat="1" applyFont="1"/>
    <xf numFmtId="0" fontId="85" fillId="2" borderId="0" xfId="2822" applyFont="1" applyFill="1"/>
    <xf numFmtId="173" fontId="85" fillId="0" borderId="0" xfId="2833" applyNumberFormat="1" applyFont="1"/>
    <xf numFmtId="173" fontId="92" fillId="0" borderId="0" xfId="2822" applyNumberFormat="1" applyFont="1"/>
    <xf numFmtId="1" fontId="85" fillId="0" borderId="0" xfId="2822" applyNumberFormat="1" applyFont="1"/>
    <xf numFmtId="187" fontId="88" fillId="0" borderId="0" xfId="2822" quotePrefix="1" applyNumberFormat="1" applyFont="1" applyAlignment="1">
      <alignment horizontal="left"/>
    </xf>
    <xf numFmtId="2" fontId="85" fillId="2" borderId="0" xfId="2822" applyNumberFormat="1" applyFont="1" applyFill="1"/>
    <xf numFmtId="173" fontId="85" fillId="0" borderId="0" xfId="2833" applyNumberFormat="1" applyFont="1" applyAlignment="1">
      <alignment horizontal="right"/>
    </xf>
    <xf numFmtId="0" fontId="92" fillId="0" borderId="0" xfId="2822" applyFont="1"/>
    <xf numFmtId="1" fontId="85" fillId="2" borderId="0" xfId="2822" applyNumberFormat="1" applyFont="1" applyFill="1"/>
    <xf numFmtId="0" fontId="85" fillId="0" borderId="0" xfId="2822" applyFont="1"/>
    <xf numFmtId="188" fontId="93" fillId="0" borderId="0" xfId="2822" applyNumberFormat="1" applyFont="1" applyAlignment="1">
      <alignment horizontal="right"/>
    </xf>
    <xf numFmtId="0" fontId="83" fillId="4" borderId="0" xfId="7" applyFont="1" applyFill="1"/>
    <xf numFmtId="187" fontId="87" fillId="4" borderId="0" xfId="7" applyNumberFormat="1" applyFont="1" applyFill="1"/>
    <xf numFmtId="187" fontId="87" fillId="4" borderId="0" xfId="7" applyNumberFormat="1" applyFont="1" applyFill="1" applyAlignment="1">
      <alignment horizontal="left" indent="1"/>
    </xf>
    <xf numFmtId="0" fontId="87" fillId="4" borderId="0" xfId="7" applyFont="1" applyFill="1"/>
    <xf numFmtId="0" fontId="88" fillId="4" borderId="0" xfId="7" applyFont="1" applyFill="1"/>
    <xf numFmtId="2" fontId="88" fillId="4" borderId="0" xfId="7" applyNumberFormat="1" applyFont="1" applyFill="1" applyAlignment="1">
      <alignment horizontal="right"/>
    </xf>
    <xf numFmtId="2" fontId="88" fillId="4" borderId="0" xfId="7" applyNumberFormat="1" applyFont="1" applyFill="1" applyAlignment="1">
      <alignment horizontal="right" wrapText="1"/>
    </xf>
    <xf numFmtId="14" fontId="88" fillId="4" borderId="0" xfId="7" applyNumberFormat="1" applyFont="1" applyFill="1" applyAlignment="1">
      <alignment horizontal="left" indent="1"/>
    </xf>
    <xf numFmtId="14" fontId="88" fillId="4" borderId="0" xfId="7" applyNumberFormat="1" applyFont="1" applyFill="1" applyAlignment="1">
      <alignment horizontal="right"/>
    </xf>
    <xf numFmtId="14" fontId="88" fillId="4" borderId="0" xfId="7" applyNumberFormat="1" applyFont="1" applyFill="1" applyAlignment="1">
      <alignment horizontal="right" wrapText="1"/>
    </xf>
    <xf numFmtId="188" fontId="88" fillId="4" borderId="0" xfId="7" applyNumberFormat="1" applyFont="1" applyFill="1" applyAlignment="1">
      <alignment horizontal="right"/>
    </xf>
    <xf numFmtId="1" fontId="83" fillId="4" borderId="0" xfId="7" applyNumberFormat="1" applyFont="1" applyFill="1" applyAlignment="1">
      <alignment horizontal="right"/>
    </xf>
    <xf numFmtId="188" fontId="88" fillId="4" borderId="0" xfId="7" applyNumberFormat="1" applyFont="1" applyFill="1"/>
    <xf numFmtId="1" fontId="88" fillId="4" borderId="0" xfId="7" applyNumberFormat="1" applyFont="1" applyFill="1"/>
    <xf numFmtId="0" fontId="88" fillId="4" borderId="0" xfId="7" applyFont="1" applyFill="1" applyAlignment="1">
      <alignment horizontal="left" indent="1"/>
    </xf>
    <xf numFmtId="0" fontId="83" fillId="4" borderId="2" xfId="7" applyFont="1" applyFill="1" applyBorder="1"/>
    <xf numFmtId="187" fontId="88" fillId="4" borderId="2" xfId="7" applyNumberFormat="1" applyFont="1" applyFill="1" applyBorder="1"/>
    <xf numFmtId="187" fontId="88" fillId="4" borderId="2" xfId="7" applyNumberFormat="1" applyFont="1" applyFill="1" applyBorder="1" applyAlignment="1">
      <alignment horizontal="left" indent="1"/>
    </xf>
    <xf numFmtId="0" fontId="88" fillId="4" borderId="2" xfId="7" applyFont="1" applyFill="1" applyBorder="1"/>
    <xf numFmtId="2" fontId="88" fillId="4" borderId="2" xfId="7" applyNumberFormat="1" applyFont="1" applyFill="1" applyBorder="1" applyAlignment="1">
      <alignment horizontal="right"/>
    </xf>
    <xf numFmtId="2" fontId="88" fillId="4" borderId="2" xfId="7" applyNumberFormat="1" applyFont="1" applyFill="1" applyBorder="1" applyAlignment="1">
      <alignment horizontal="right" wrapText="1"/>
    </xf>
    <xf numFmtId="14" fontId="88" fillId="4" borderId="2" xfId="7" applyNumberFormat="1" applyFont="1" applyFill="1" applyBorder="1" applyAlignment="1">
      <alignment horizontal="right"/>
    </xf>
    <xf numFmtId="14" fontId="88" fillId="4" borderId="2" xfId="7" applyNumberFormat="1" applyFont="1" applyFill="1" applyBorder="1" applyAlignment="1">
      <alignment horizontal="right" wrapText="1"/>
    </xf>
    <xf numFmtId="188" fontId="88" fillId="4" borderId="2" xfId="7" applyNumberFormat="1" applyFont="1" applyFill="1" applyBorder="1" applyAlignment="1">
      <alignment horizontal="right"/>
    </xf>
    <xf numFmtId="1" fontId="83" fillId="4" borderId="2" xfId="7" applyNumberFormat="1" applyFont="1" applyFill="1" applyBorder="1" applyAlignment="1">
      <alignment horizontal="right"/>
    </xf>
    <xf numFmtId="188" fontId="88" fillId="4" borderId="2" xfId="7" applyNumberFormat="1" applyFont="1" applyFill="1" applyBorder="1"/>
    <xf numFmtId="1" fontId="88" fillId="4" borderId="2" xfId="7" applyNumberFormat="1" applyFont="1" applyFill="1" applyBorder="1"/>
    <xf numFmtId="0" fontId="88" fillId="4" borderId="2" xfId="7" applyFont="1" applyFill="1" applyBorder="1" applyAlignment="1">
      <alignment horizontal="left" indent="1"/>
    </xf>
    <xf numFmtId="0" fontId="83" fillId="2" borderId="0" xfId="7" applyFont="1" applyFill="1"/>
    <xf numFmtId="190" fontId="83" fillId="0" borderId="0" xfId="7" applyNumberFormat="1" applyFont="1" applyAlignment="1">
      <alignment horizontal="left"/>
    </xf>
    <xf numFmtId="190" fontId="83" fillId="0" borderId="0" xfId="7" applyNumberFormat="1" applyFont="1"/>
    <xf numFmtId="0" fontId="83" fillId="0" borderId="0" xfId="7" applyFont="1"/>
    <xf numFmtId="0" fontId="83" fillId="0" borderId="0" xfId="7" applyFont="1" applyAlignment="1">
      <alignment horizontal="right"/>
    </xf>
    <xf numFmtId="2" fontId="83" fillId="0" borderId="0" xfId="7" applyNumberFormat="1" applyFont="1" applyAlignment="1">
      <alignment horizontal="right"/>
    </xf>
    <xf numFmtId="191" fontId="83" fillId="0" borderId="0" xfId="7" applyNumberFormat="1" applyFont="1" applyAlignment="1">
      <alignment horizontal="right"/>
    </xf>
    <xf numFmtId="188" fontId="83" fillId="0" borderId="0" xfId="7" applyNumberFormat="1" applyFont="1" applyAlignment="1">
      <alignment horizontal="right"/>
    </xf>
    <xf numFmtId="1" fontId="83" fillId="2" borderId="0" xfId="7" applyNumberFormat="1" applyFont="1" applyFill="1" applyAlignment="1">
      <alignment horizontal="right"/>
    </xf>
    <xf numFmtId="2" fontId="83" fillId="2" borderId="0" xfId="7" applyNumberFormat="1" applyFont="1" applyFill="1" applyAlignment="1">
      <alignment horizontal="right"/>
    </xf>
    <xf numFmtId="0" fontId="11" fillId="2" borderId="0" xfId="7" applyFill="1"/>
    <xf numFmtId="4" fontId="11" fillId="0" borderId="0" xfId="7" applyNumberFormat="1" applyAlignment="1">
      <alignment horizontal="right"/>
    </xf>
    <xf numFmtId="188" fontId="88" fillId="2" borderId="0" xfId="7" applyNumberFormat="1" applyFont="1" applyFill="1"/>
    <xf numFmtId="0" fontId="83" fillId="2" borderId="0" xfId="7" applyFont="1" applyFill="1" applyAlignment="1">
      <alignment horizontal="left"/>
    </xf>
    <xf numFmtId="191" fontId="83" fillId="0" borderId="0" xfId="7" applyNumberFormat="1" applyFont="1"/>
    <xf numFmtId="188" fontId="83" fillId="2" borderId="0" xfId="7" applyNumberFormat="1" applyFont="1" applyFill="1"/>
    <xf numFmtId="0" fontId="88" fillId="2" borderId="0" xfId="7" applyFont="1" applyFill="1"/>
    <xf numFmtId="0" fontId="88" fillId="0" borderId="0" xfId="7" quotePrefix="1" applyFont="1" applyAlignment="1">
      <alignment horizontal="left"/>
    </xf>
    <xf numFmtId="187" fontId="88" fillId="0" borderId="0" xfId="7" applyNumberFormat="1" applyFont="1"/>
    <xf numFmtId="190" fontId="88" fillId="0" borderId="0" xfId="7" applyNumberFormat="1" applyFont="1"/>
    <xf numFmtId="4" fontId="88" fillId="2" borderId="0" xfId="7" applyNumberFormat="1" applyFont="1" applyFill="1"/>
    <xf numFmtId="2" fontId="88" fillId="2" borderId="0" xfId="7" applyNumberFormat="1" applyFont="1" applyFill="1" applyAlignment="1">
      <alignment horizontal="right"/>
    </xf>
    <xf numFmtId="2" fontId="88" fillId="0" borderId="0" xfId="7" applyNumberFormat="1" applyFont="1" applyAlignment="1">
      <alignment horizontal="right"/>
    </xf>
    <xf numFmtId="187" fontId="88" fillId="0" borderId="0" xfId="7" applyNumberFormat="1" applyFont="1" applyAlignment="1">
      <alignment horizontal="right"/>
    </xf>
    <xf numFmtId="188" fontId="88" fillId="0" borderId="0" xfId="7" applyNumberFormat="1" applyFont="1" applyAlignment="1">
      <alignment horizontal="right"/>
    </xf>
    <xf numFmtId="2" fontId="83" fillId="2" borderId="0" xfId="7" applyNumberFormat="1" applyFont="1" applyFill="1" applyAlignment="1">
      <alignment horizontal="left"/>
    </xf>
    <xf numFmtId="188" fontId="83" fillId="2" borderId="0" xfId="7" applyNumberFormat="1" applyFont="1" applyFill="1" applyAlignment="1">
      <alignment horizontal="left"/>
    </xf>
    <xf numFmtId="2" fontId="83" fillId="2" borderId="0" xfId="7" applyNumberFormat="1" applyFont="1" applyFill="1"/>
    <xf numFmtId="187" fontId="88" fillId="0" borderId="0" xfId="7" applyNumberFormat="1" applyFont="1" applyAlignment="1">
      <alignment horizontal="left"/>
    </xf>
    <xf numFmtId="0" fontId="88" fillId="2" borderId="0" xfId="7" applyFont="1" applyFill="1" applyAlignment="1">
      <alignment horizontal="right"/>
    </xf>
    <xf numFmtId="0" fontId="88" fillId="0" borderId="0" xfId="7" applyFont="1" applyAlignment="1">
      <alignment horizontal="right"/>
    </xf>
    <xf numFmtId="191" fontId="88" fillId="0" borderId="0" xfId="7" applyNumberFormat="1" applyFont="1" applyAlignment="1">
      <alignment horizontal="right"/>
    </xf>
    <xf numFmtId="1" fontId="83" fillId="0" borderId="0" xfId="7" applyNumberFormat="1" applyFont="1" applyAlignment="1">
      <alignment horizontal="right"/>
    </xf>
    <xf numFmtId="1" fontId="83" fillId="2" borderId="0" xfId="7" applyNumberFormat="1" applyFont="1" applyFill="1" applyAlignment="1">
      <alignment horizontal="left"/>
    </xf>
    <xf numFmtId="1" fontId="83" fillId="2" borderId="0" xfId="7" applyNumberFormat="1" applyFont="1" applyFill="1"/>
    <xf numFmtId="0" fontId="83" fillId="2" borderId="0" xfId="7" applyFont="1" applyFill="1" applyAlignment="1">
      <alignment horizontal="right"/>
    </xf>
    <xf numFmtId="190" fontId="83" fillId="2" borderId="0" xfId="7" applyNumberFormat="1" applyFont="1" applyFill="1" applyAlignment="1">
      <alignment horizontal="left"/>
    </xf>
    <xf numFmtId="190" fontId="83" fillId="2" borderId="0" xfId="7" applyNumberFormat="1" applyFont="1" applyFill="1"/>
    <xf numFmtId="191" fontId="83" fillId="2" borderId="0" xfId="7" applyNumberFormat="1" applyFont="1" applyFill="1" applyAlignment="1">
      <alignment horizontal="right"/>
    </xf>
    <xf numFmtId="188" fontId="83" fillId="2" borderId="0" xfId="7" applyNumberFormat="1" applyFont="1" applyFill="1" applyAlignment="1">
      <alignment horizontal="right"/>
    </xf>
    <xf numFmtId="189" fontId="88" fillId="0" borderId="0" xfId="7" applyNumberFormat="1" applyFont="1"/>
    <xf numFmtId="0" fontId="88" fillId="0" borderId="0" xfId="7" applyFont="1"/>
    <xf numFmtId="188" fontId="88" fillId="2" borderId="0" xfId="7" applyNumberFormat="1" applyFont="1" applyFill="1" applyAlignment="1">
      <alignment horizontal="left"/>
    </xf>
    <xf numFmtId="0" fontId="88" fillId="2" borderId="0" xfId="7" applyFont="1" applyFill="1" applyAlignment="1">
      <alignment horizontal="left"/>
    </xf>
    <xf numFmtId="4" fontId="88" fillId="0" borderId="0" xfId="7" applyNumberFormat="1" applyFont="1"/>
    <xf numFmtId="187" fontId="88" fillId="0" borderId="0" xfId="7" quotePrefix="1" applyNumberFormat="1" applyFont="1" applyAlignment="1">
      <alignment horizontal="left"/>
    </xf>
    <xf numFmtId="187" fontId="88" fillId="0" borderId="0" xfId="2822" applyNumberFormat="1" applyFont="1"/>
    <xf numFmtId="4" fontId="88" fillId="2" borderId="0" xfId="2822" applyNumberFormat="1" applyFont="1" applyFill="1"/>
    <xf numFmtId="0" fontId="88" fillId="2" borderId="0" xfId="2822" applyFont="1" applyFill="1" applyAlignment="1">
      <alignment horizontal="right"/>
    </xf>
    <xf numFmtId="191" fontId="88" fillId="0" borderId="0" xfId="2822" applyNumberFormat="1" applyFont="1"/>
    <xf numFmtId="1" fontId="83" fillId="0" borderId="0" xfId="2822" applyNumberFormat="1" applyFont="1" applyAlignment="1">
      <alignment horizontal="left"/>
    </xf>
    <xf numFmtId="188" fontId="89" fillId="0" borderId="0" xfId="2822" applyNumberFormat="1" applyFont="1"/>
    <xf numFmtId="1" fontId="89" fillId="2" borderId="0" xfId="2822" applyNumberFormat="1" applyFont="1" applyFill="1" applyAlignment="1">
      <alignment horizontal="right"/>
    </xf>
    <xf numFmtId="188" fontId="89" fillId="2" borderId="0" xfId="2822" applyNumberFormat="1" applyFont="1" applyFill="1"/>
    <xf numFmtId="1" fontId="89" fillId="2" borderId="0" xfId="2822" applyNumberFormat="1" applyFont="1" applyFill="1"/>
    <xf numFmtId="0" fontId="83" fillId="2" borderId="0" xfId="2822" applyFont="1" applyFill="1" applyAlignment="1">
      <alignment horizontal="left" vertical="center"/>
    </xf>
    <xf numFmtId="2" fontId="89" fillId="0" borderId="0" xfId="2822" applyNumberFormat="1" applyFont="1"/>
    <xf numFmtId="0" fontId="83" fillId="0" borderId="0" xfId="2830" applyFont="1" applyAlignment="1">
      <alignment horizontal="left" vertical="center"/>
    </xf>
    <xf numFmtId="0" fontId="89" fillId="0" borderId="0" xfId="2822" applyFont="1"/>
    <xf numFmtId="187" fontId="82" fillId="0" borderId="0" xfId="2822" applyNumberFormat="1" applyFont="1"/>
    <xf numFmtId="187" fontId="89" fillId="0" borderId="0" xfId="2822" applyNumberFormat="1" applyFont="1"/>
    <xf numFmtId="187" fontId="89" fillId="2" borderId="0" xfId="2822" applyNumberFormat="1" applyFont="1" applyFill="1"/>
    <xf numFmtId="188" fontId="83" fillId="0" borderId="0" xfId="2822" applyNumberFormat="1" applyFont="1" applyAlignment="1">
      <alignment horizontal="left"/>
    </xf>
    <xf numFmtId="188" fontId="83" fillId="0" borderId="0" xfId="2822" applyNumberFormat="1" applyFont="1" applyAlignment="1">
      <alignment horizontal="left" vertical="center"/>
    </xf>
    <xf numFmtId="1" fontId="83" fillId="2" borderId="0" xfId="2822" applyNumberFormat="1" applyFont="1" applyFill="1" applyAlignment="1">
      <alignment horizontal="right" vertical="center" wrapText="1"/>
    </xf>
    <xf numFmtId="188" fontId="83" fillId="2" borderId="0" xfId="2822" applyNumberFormat="1" applyFont="1" applyFill="1" applyAlignment="1">
      <alignment horizontal="left" vertical="center" wrapText="1"/>
    </xf>
    <xf numFmtId="1" fontId="83" fillId="2" borderId="0" xfId="2822" applyNumberFormat="1" applyFont="1" applyFill="1" applyAlignment="1">
      <alignment horizontal="left" vertical="center" wrapText="1"/>
    </xf>
    <xf numFmtId="188" fontId="83" fillId="2" borderId="0" xfId="2822" applyNumberFormat="1" applyFont="1" applyFill="1" applyAlignment="1">
      <alignment vertical="center" wrapText="1"/>
    </xf>
    <xf numFmtId="188" fontId="89" fillId="2" borderId="0" xfId="2822" applyNumberFormat="1" applyFont="1" applyFill="1" applyAlignment="1">
      <alignment vertical="center"/>
    </xf>
    <xf numFmtId="0" fontId="83" fillId="0" borderId="0" xfId="2822" applyFont="1" applyAlignment="1">
      <alignment horizontal="left"/>
    </xf>
    <xf numFmtId="0" fontId="89" fillId="2" borderId="0" xfId="2822" applyFont="1" applyFill="1"/>
    <xf numFmtId="0" fontId="90" fillId="0" borderId="0" xfId="2822" applyFont="1"/>
    <xf numFmtId="0" fontId="83" fillId="2" borderId="0" xfId="2822" applyFont="1" applyFill="1" applyAlignment="1">
      <alignment horizontal="left" vertical="top" wrapText="1"/>
    </xf>
    <xf numFmtId="0" fontId="83" fillId="0" borderId="0" xfId="2822" applyFont="1" applyAlignment="1">
      <alignment horizontal="left" vertical="top" wrapText="1"/>
    </xf>
    <xf numFmtId="1" fontId="83" fillId="2" borderId="0" xfId="2822" applyNumberFormat="1" applyFont="1" applyFill="1" applyAlignment="1">
      <alignment horizontal="right" vertical="top" wrapText="1"/>
    </xf>
    <xf numFmtId="1" fontId="83" fillId="2" borderId="0" xfId="2822" applyNumberFormat="1" applyFont="1" applyFill="1" applyAlignment="1">
      <alignment horizontal="left" vertical="top" wrapText="1"/>
    </xf>
    <xf numFmtId="0" fontId="83" fillId="2" borderId="0" xfId="2822" applyFont="1" applyFill="1" applyAlignment="1">
      <alignment vertical="top" wrapText="1"/>
    </xf>
    <xf numFmtId="1" fontId="83" fillId="0" borderId="0" xfId="2822" applyNumberFormat="1" applyFont="1" applyAlignment="1">
      <alignment horizontal="left" vertical="center"/>
    </xf>
    <xf numFmtId="188" fontId="83" fillId="0" borderId="0" xfId="2822" applyNumberFormat="1" applyFont="1" applyAlignment="1">
      <alignment vertical="center"/>
    </xf>
    <xf numFmtId="0" fontId="91" fillId="2" borderId="0" xfId="2822" applyFont="1" applyFill="1"/>
    <xf numFmtId="0" fontId="90" fillId="2" borderId="0" xfId="2822" applyFont="1" applyFill="1"/>
    <xf numFmtId="9" fontId="19" fillId="0" borderId="0" xfId="1" applyFont="1"/>
    <xf numFmtId="9" fontId="18" fillId="0" borderId="4" xfId="0" applyNumberFormat="1" applyFont="1" applyBorder="1"/>
    <xf numFmtId="10" fontId="83" fillId="0" borderId="0" xfId="1" applyNumberFormat="1" applyFont="1" applyAlignment="1">
      <alignment horizontal="right"/>
    </xf>
    <xf numFmtId="0" fontId="11" fillId="0" borderId="0" xfId="7"/>
    <xf numFmtId="166" fontId="83" fillId="2" borderId="0" xfId="2834" applyNumberFormat="1" applyFont="1" applyFill="1"/>
    <xf numFmtId="166" fontId="83" fillId="2" borderId="0" xfId="2831" applyNumberFormat="1" applyFont="1" applyFill="1"/>
    <xf numFmtId="166" fontId="95" fillId="2" borderId="0" xfId="2834" applyNumberFormat="1" applyFont="1" applyFill="1"/>
    <xf numFmtId="10" fontId="83" fillId="2" borderId="0" xfId="1" applyNumberFormat="1" applyFont="1" applyFill="1"/>
    <xf numFmtId="10" fontId="83" fillId="0" borderId="0" xfId="2831" applyNumberFormat="1" applyFont="1"/>
    <xf numFmtId="0" fontId="18" fillId="0" borderId="0" xfId="13" applyFont="1" applyAlignment="1">
      <alignment horizontal="center"/>
    </xf>
    <xf numFmtId="0" fontId="21" fillId="0" borderId="0" xfId="13" applyFont="1" applyAlignment="1">
      <alignment horizontal="center"/>
    </xf>
    <xf numFmtId="0" fontId="19" fillId="0" borderId="0" xfId="13" applyFont="1" applyAlignment="1">
      <alignment horizontal="center"/>
    </xf>
    <xf numFmtId="44" fontId="19" fillId="0" borderId="0" xfId="9" applyFont="1"/>
    <xf numFmtId="44" fontId="19" fillId="0" borderId="0" xfId="13" applyNumberFormat="1" applyFont="1"/>
    <xf numFmtId="185" fontId="19" fillId="0" borderId="0" xfId="13" applyNumberFormat="1" applyFont="1" applyAlignment="1">
      <alignment horizontal="center"/>
    </xf>
    <xf numFmtId="164" fontId="19" fillId="0" borderId="0" xfId="3" applyNumberFormat="1" applyFont="1" applyAlignment="1">
      <alignment horizontal="right"/>
    </xf>
    <xf numFmtId="44" fontId="96" fillId="0" borderId="0" xfId="13" applyNumberFormat="1" applyFont="1"/>
    <xf numFmtId="44" fontId="96" fillId="0" borderId="0" xfId="9" applyFont="1"/>
    <xf numFmtId="10" fontId="18" fillId="0" borderId="0" xfId="3" applyNumberFormat="1" applyFont="1"/>
    <xf numFmtId="0" fontId="63" fillId="0" borderId="0" xfId="7" applyFont="1"/>
    <xf numFmtId="10" fontId="63" fillId="0" borderId="0" xfId="8" applyNumberFormat="1" applyFont="1" applyAlignment="1">
      <alignment horizontal="center"/>
    </xf>
    <xf numFmtId="0" fontId="2" fillId="0" borderId="0" xfId="2825"/>
    <xf numFmtId="0" fontId="97" fillId="0" borderId="0" xfId="2825" applyFont="1" applyAlignment="1">
      <alignment horizontal="center" wrapText="1"/>
    </xf>
    <xf numFmtId="10" fontId="0" fillId="0" borderId="0" xfId="2827" applyNumberFormat="1" applyFont="1" applyFill="1"/>
    <xf numFmtId="10" fontId="2" fillId="0" borderId="0" xfId="2825" applyNumberFormat="1"/>
    <xf numFmtId="0" fontId="98" fillId="0" borderId="0" xfId="2825" applyFont="1" applyAlignment="1">
      <alignment wrapText="1"/>
    </xf>
    <xf numFmtId="0" fontId="99" fillId="0" borderId="0" xfId="2825" applyFont="1"/>
    <xf numFmtId="0" fontId="97" fillId="0" borderId="0" xfId="2825" applyFont="1" applyAlignment="1">
      <alignment horizontal="center"/>
    </xf>
    <xf numFmtId="10" fontId="0" fillId="0" borderId="0" xfId="2827" applyNumberFormat="1" applyFont="1"/>
    <xf numFmtId="0" fontId="18" fillId="0" borderId="0" xfId="2823" applyFont="1" applyAlignment="1">
      <alignment horizontal="left"/>
    </xf>
    <xf numFmtId="2" fontId="19" fillId="0" borderId="0" xfId="8" applyNumberFormat="1" applyFont="1" applyAlignment="1">
      <alignment horizontal="center"/>
    </xf>
    <xf numFmtId="194" fontId="19" fillId="0" borderId="0" xfId="13" applyNumberFormat="1" applyFont="1"/>
    <xf numFmtId="0" fontId="65" fillId="0" borderId="0" xfId="2823" applyFont="1" applyAlignment="1">
      <alignment horizontal="left"/>
    </xf>
    <xf numFmtId="0" fontId="19" fillId="4" borderId="0" xfId="13" applyFont="1" applyFill="1" applyAlignment="1">
      <alignment horizontal="left"/>
    </xf>
    <xf numFmtId="0" fontId="19" fillId="4" borderId="0" xfId="13" applyFont="1" applyFill="1" applyAlignment="1">
      <alignment horizontal="center"/>
    </xf>
    <xf numFmtId="0" fontId="19" fillId="4" borderId="0" xfId="13" applyFont="1" applyFill="1"/>
    <xf numFmtId="183" fontId="19" fillId="4" borderId="0" xfId="13" applyNumberFormat="1" applyFont="1" applyFill="1" applyAlignment="1">
      <alignment horizontal="center"/>
    </xf>
    <xf numFmtId="0" fontId="18" fillId="4" borderId="0" xfId="13" applyFont="1" applyFill="1" applyAlignment="1">
      <alignment horizontal="center"/>
    </xf>
    <xf numFmtId="0" fontId="21" fillId="4" borderId="0" xfId="13" applyFont="1" applyFill="1" applyAlignment="1">
      <alignment horizontal="center"/>
    </xf>
    <xf numFmtId="194" fontId="19" fillId="0" borderId="0" xfId="13" applyNumberFormat="1" applyFont="1" applyAlignment="1">
      <alignment horizontal="center"/>
    </xf>
    <xf numFmtId="0" fontId="18" fillId="4" borderId="2" xfId="13" applyFont="1" applyFill="1" applyBorder="1" applyAlignment="1">
      <alignment horizontal="left"/>
    </xf>
    <xf numFmtId="0" fontId="18" fillId="4" borderId="2" xfId="13" applyFont="1" applyFill="1" applyBorder="1"/>
    <xf numFmtId="0" fontId="18" fillId="4" borderId="2" xfId="13" applyFont="1" applyFill="1" applyBorder="1" applyAlignment="1">
      <alignment horizontal="center"/>
    </xf>
    <xf numFmtId="0" fontId="19" fillId="4" borderId="2" xfId="13" applyFont="1" applyFill="1" applyBorder="1"/>
    <xf numFmtId="0" fontId="18" fillId="0" borderId="2" xfId="13" applyFont="1" applyBorder="1" applyAlignment="1">
      <alignment horizontal="center"/>
    </xf>
    <xf numFmtId="194" fontId="19" fillId="0" borderId="2" xfId="13" applyNumberFormat="1" applyFont="1" applyBorder="1" applyAlignment="1">
      <alignment horizontal="center"/>
    </xf>
    <xf numFmtId="0" fontId="19" fillId="0" borderId="2" xfId="13" applyFont="1" applyBorder="1" applyAlignment="1">
      <alignment horizontal="center"/>
    </xf>
    <xf numFmtId="195" fontId="19" fillId="0" borderId="0" xfId="3" applyNumberFormat="1" applyFont="1" applyFill="1" applyBorder="1" applyAlignment="1">
      <alignment horizontal="center"/>
    </xf>
    <xf numFmtId="38" fontId="19" fillId="0" borderId="0" xfId="3" applyNumberFormat="1" applyFont="1" applyFill="1" applyBorder="1" applyAlignment="1">
      <alignment horizontal="center"/>
    </xf>
    <xf numFmtId="196" fontId="19" fillId="0" borderId="0" xfId="9" applyNumberFormat="1" applyFont="1" applyFill="1" applyBorder="1" applyAlignment="1">
      <alignment horizontal="center"/>
    </xf>
    <xf numFmtId="6" fontId="19" fillId="0" borderId="0" xfId="9" applyNumberFormat="1" applyFont="1" applyFill="1" applyBorder="1" applyAlignment="1">
      <alignment horizontal="center"/>
    </xf>
    <xf numFmtId="2" fontId="19" fillId="0" borderId="0" xfId="8" applyNumberFormat="1" applyFont="1" applyFill="1" applyBorder="1" applyAlignment="1">
      <alignment horizontal="center"/>
    </xf>
    <xf numFmtId="197" fontId="19" fillId="0" borderId="0" xfId="3" applyNumberFormat="1" applyFont="1" applyFill="1" applyBorder="1" applyAlignment="1">
      <alignment horizontal="center"/>
    </xf>
    <xf numFmtId="164" fontId="19" fillId="0" borderId="0" xfId="3" applyNumberFormat="1" applyFont="1" applyBorder="1" applyAlignment="1">
      <alignment horizontal="center"/>
    </xf>
    <xf numFmtId="194" fontId="19" fillId="0" borderId="0" xfId="5" applyNumberFormat="1" applyFont="1" applyAlignment="1">
      <alignment horizontal="left"/>
    </xf>
    <xf numFmtId="6" fontId="19" fillId="0" borderId="0" xfId="7" applyNumberFormat="1" applyFont="1"/>
    <xf numFmtId="2" fontId="18" fillId="0" borderId="0" xfId="8" applyNumberFormat="1" applyFont="1" applyBorder="1" applyAlignment="1">
      <alignment horizontal="center"/>
    </xf>
    <xf numFmtId="197" fontId="18" fillId="0" borderId="4" xfId="7" applyNumberFormat="1" applyFont="1" applyBorder="1" applyAlignment="1">
      <alignment horizontal="center"/>
    </xf>
    <xf numFmtId="194" fontId="19" fillId="0" borderId="0" xfId="7" applyNumberFormat="1" applyFont="1"/>
    <xf numFmtId="165" fontId="19" fillId="0" borderId="0" xfId="13" applyNumberFormat="1" applyFont="1" applyAlignment="1">
      <alignment horizontal="left"/>
    </xf>
    <xf numFmtId="195" fontId="19" fillId="0" borderId="0" xfId="3" applyNumberFormat="1" applyFont="1" applyFill="1" applyAlignment="1">
      <alignment horizontal="center"/>
    </xf>
    <xf numFmtId="38" fontId="19" fillId="0" borderId="0" xfId="3" applyNumberFormat="1" applyFont="1" applyAlignment="1">
      <alignment horizontal="center"/>
    </xf>
    <xf numFmtId="8" fontId="19" fillId="0" borderId="0" xfId="9" applyNumberFormat="1" applyFont="1" applyAlignment="1">
      <alignment horizontal="center"/>
    </xf>
    <xf numFmtId="196" fontId="19" fillId="0" borderId="0" xfId="9" applyNumberFormat="1" applyFont="1" applyAlignment="1">
      <alignment horizontal="center"/>
    </xf>
    <xf numFmtId="6" fontId="19" fillId="0" borderId="0" xfId="9" applyNumberFormat="1" applyFont="1" applyAlignment="1">
      <alignment horizontal="center"/>
    </xf>
    <xf numFmtId="197" fontId="19" fillId="0" borderId="0" xfId="3" applyNumberFormat="1" applyFont="1" applyAlignment="1">
      <alignment horizontal="center"/>
    </xf>
    <xf numFmtId="0" fontId="19" fillId="0" borderId="0" xfId="13" applyFont="1" applyAlignment="1">
      <alignment horizontal="left"/>
    </xf>
    <xf numFmtId="197" fontId="18" fillId="0" borderId="23" xfId="13" applyNumberFormat="1" applyFont="1" applyBorder="1" applyAlignment="1">
      <alignment horizontal="center"/>
    </xf>
    <xf numFmtId="197" fontId="18" fillId="0" borderId="0" xfId="13" applyNumberFormat="1" applyFont="1" applyAlignment="1">
      <alignment horizontal="center"/>
    </xf>
    <xf numFmtId="0" fontId="23" fillId="0" borderId="0" xfId="7" applyFont="1" applyAlignment="1">
      <alignment horizontal="left" indent="1"/>
    </xf>
    <xf numFmtId="164" fontId="23" fillId="0" borderId="0" xfId="7" applyNumberFormat="1" applyFont="1" applyAlignment="1">
      <alignment horizontal="center"/>
    </xf>
    <xf numFmtId="2" fontId="23" fillId="0" borderId="0" xfId="8" applyNumberFormat="1" applyFont="1" applyBorder="1" applyAlignment="1">
      <alignment horizontal="center"/>
    </xf>
    <xf numFmtId="194" fontId="14" fillId="0" borderId="0" xfId="7" applyNumberFormat="1" applyFont="1"/>
    <xf numFmtId="10" fontId="14" fillId="0" borderId="0" xfId="3" applyNumberFormat="1" applyFont="1"/>
    <xf numFmtId="0" fontId="14" fillId="0" borderId="0" xfId="13" applyFont="1" applyAlignment="1">
      <alignment vertical="top"/>
    </xf>
    <xf numFmtId="0" fontId="14" fillId="0" borderId="0" xfId="7" quotePrefix="1" applyFont="1" applyAlignment="1">
      <alignment horizontal="center" vertical="top" wrapText="1"/>
    </xf>
    <xf numFmtId="194" fontId="14" fillId="0" borderId="0" xfId="7" applyNumberFormat="1" applyFont="1" applyAlignment="1">
      <alignment vertical="top"/>
    </xf>
    <xf numFmtId="0" fontId="14" fillId="0" borderId="0" xfId="13" applyFont="1" applyAlignment="1">
      <alignment vertical="top" wrapText="1"/>
    </xf>
    <xf numFmtId="194" fontId="14" fillId="0" borderId="0" xfId="7" applyNumberFormat="1" applyFont="1" applyAlignment="1">
      <alignment vertical="top" wrapText="1"/>
    </xf>
    <xf numFmtId="0" fontId="14" fillId="0" borderId="0" xfId="7" applyFont="1" applyAlignment="1">
      <alignment vertical="top" wrapText="1"/>
    </xf>
    <xf numFmtId="0" fontId="14" fillId="0" borderId="0" xfId="7" quotePrefix="1" applyFont="1" applyAlignment="1">
      <alignment horizontal="right"/>
    </xf>
    <xf numFmtId="2" fontId="14" fillId="0" borderId="0" xfId="8" applyNumberFormat="1" applyFont="1" applyFill="1" applyAlignment="1">
      <alignment horizontal="center"/>
    </xf>
    <xf numFmtId="167" fontId="19" fillId="0" borderId="0" xfId="7" applyNumberFormat="1" applyFont="1"/>
    <xf numFmtId="0" fontId="19" fillId="0" borderId="0" xfId="7" applyFont="1" applyFill="1"/>
    <xf numFmtId="17" fontId="19" fillId="0" borderId="0" xfId="7" quotePrefix="1" applyNumberFormat="1" applyFont="1" applyFill="1" applyAlignment="1">
      <alignment horizontal="left"/>
    </xf>
    <xf numFmtId="10" fontId="19" fillId="0" borderId="0" xfId="0" applyNumberFormat="1" applyFont="1" applyFill="1"/>
    <xf numFmtId="10" fontId="19" fillId="0" borderId="0" xfId="7" applyNumberFormat="1" applyFont="1" applyFill="1"/>
    <xf numFmtId="189" fontId="83" fillId="10" borderId="0" xfId="2825" applyNumberFormat="1" applyFont="1" applyFill="1" applyAlignment="1">
      <alignment horizontal="right"/>
    </xf>
    <xf numFmtId="190" fontId="83" fillId="10" borderId="0" xfId="2825" applyNumberFormat="1" applyFont="1" applyFill="1"/>
    <xf numFmtId="0" fontId="83" fillId="10" borderId="0" xfId="2825" applyFont="1" applyFill="1"/>
    <xf numFmtId="4" fontId="83" fillId="10" borderId="0" xfId="2825" applyNumberFormat="1" applyFont="1" applyFill="1" applyAlignment="1">
      <alignment horizontal="right"/>
    </xf>
    <xf numFmtId="2" fontId="83" fillId="10" borderId="0" xfId="2825" applyNumberFormat="1" applyFont="1" applyFill="1" applyAlignment="1">
      <alignment horizontal="right"/>
    </xf>
    <xf numFmtId="191" fontId="83" fillId="10" borderId="0" xfId="2825" applyNumberFormat="1" applyFont="1" applyFill="1"/>
    <xf numFmtId="0" fontId="83" fillId="10" borderId="0" xfId="2825" applyFont="1" applyFill="1" applyAlignment="1">
      <alignment horizontal="right"/>
    </xf>
    <xf numFmtId="188" fontId="83" fillId="10" borderId="0" xfId="2825" applyNumberFormat="1" applyFont="1" applyFill="1" applyAlignment="1">
      <alignment horizontal="right"/>
    </xf>
    <xf numFmtId="1" fontId="83" fillId="10" borderId="0" xfId="2825" applyNumberFormat="1" applyFont="1" applyFill="1" applyAlignment="1">
      <alignment horizontal="right"/>
    </xf>
    <xf numFmtId="1" fontId="83" fillId="10" borderId="0" xfId="2825" applyNumberFormat="1" applyFont="1" applyFill="1" applyAlignment="1">
      <alignment horizontal="left"/>
    </xf>
    <xf numFmtId="188" fontId="83" fillId="10" borderId="0" xfId="2825" applyNumberFormat="1" applyFont="1" applyFill="1"/>
    <xf numFmtId="1" fontId="83" fillId="10" borderId="0" xfId="2825" applyNumberFormat="1" applyFont="1" applyFill="1"/>
    <xf numFmtId="0" fontId="83" fillId="10" borderId="0" xfId="2825" applyFont="1" applyFill="1" applyAlignment="1">
      <alignment horizontal="left"/>
    </xf>
    <xf numFmtId="0" fontId="83" fillId="10" borderId="0" xfId="2825" applyFont="1" applyFill="1" applyAlignment="1">
      <alignment horizontal="right" vertical="center"/>
    </xf>
    <xf numFmtId="191" fontId="83" fillId="10" borderId="0" xfId="2825" applyNumberFormat="1" applyFont="1" applyFill="1" applyAlignment="1">
      <alignment horizontal="right"/>
    </xf>
    <xf numFmtId="188" fontId="83" fillId="10" borderId="0" xfId="2825" applyNumberFormat="1" applyFont="1" applyFill="1" applyAlignment="1">
      <alignment horizontal="left"/>
    </xf>
    <xf numFmtId="189" fontId="83" fillId="10" borderId="0" xfId="2825" applyNumberFormat="1" applyFont="1" applyFill="1"/>
    <xf numFmtId="0" fontId="2" fillId="10" borderId="0" xfId="2825" applyFill="1"/>
    <xf numFmtId="4" fontId="2" fillId="10" borderId="0" xfId="2825" applyNumberFormat="1" applyFill="1" applyAlignment="1">
      <alignment horizontal="right"/>
    </xf>
    <xf numFmtId="0" fontId="83" fillId="10" borderId="0" xfId="2825" applyFont="1" applyFill="1" applyAlignment="1">
      <alignment vertical="center"/>
    </xf>
    <xf numFmtId="0" fontId="83" fillId="10" borderId="0" xfId="2831" applyFont="1" applyFill="1"/>
    <xf numFmtId="190" fontId="83" fillId="10" borderId="0" xfId="2831" applyNumberFormat="1" applyFont="1" applyFill="1" applyAlignment="1">
      <alignment horizontal="right"/>
    </xf>
    <xf numFmtId="190" fontId="83" fillId="10" borderId="0" xfId="2831" applyNumberFormat="1" applyFont="1" applyFill="1"/>
    <xf numFmtId="0" fontId="83" fillId="10" borderId="0" xfId="2831" applyFont="1" applyFill="1" applyAlignment="1">
      <alignment horizontal="right"/>
    </xf>
    <xf numFmtId="2" fontId="83" fillId="10" borderId="0" xfId="2831" applyNumberFormat="1" applyFont="1" applyFill="1" applyAlignment="1">
      <alignment horizontal="right"/>
    </xf>
    <xf numFmtId="191" fontId="83" fillId="10" borderId="0" xfId="2831" applyNumberFormat="1" applyFont="1" applyFill="1" applyAlignment="1">
      <alignment horizontal="right"/>
    </xf>
    <xf numFmtId="188" fontId="83" fillId="10" borderId="0" xfId="2831" applyNumberFormat="1" applyFont="1" applyFill="1" applyAlignment="1">
      <alignment horizontal="right"/>
    </xf>
    <xf numFmtId="1" fontId="83" fillId="10" borderId="0" xfId="2831" applyNumberFormat="1" applyFont="1" applyFill="1" applyAlignment="1">
      <alignment horizontal="right"/>
    </xf>
    <xf numFmtId="1" fontId="83" fillId="10" borderId="0" xfId="2831" applyNumberFormat="1" applyFont="1" applyFill="1" applyAlignment="1">
      <alignment horizontal="left"/>
    </xf>
    <xf numFmtId="188" fontId="83" fillId="10" borderId="0" xfId="2831" applyNumberFormat="1" applyFont="1" applyFill="1" applyAlignment="1">
      <alignment horizontal="left"/>
    </xf>
    <xf numFmtId="1" fontId="83" fillId="10" borderId="0" xfId="2831" applyNumberFormat="1" applyFont="1" applyFill="1"/>
    <xf numFmtId="191" fontId="83" fillId="10" borderId="0" xfId="2831" applyNumberFormat="1" applyFont="1" applyFill="1"/>
    <xf numFmtId="2" fontId="83" fillId="10" borderId="0" xfId="2831" applyNumberFormat="1" applyFont="1" applyFill="1"/>
    <xf numFmtId="188" fontId="83" fillId="10" borderId="0" xfId="2831" applyNumberFormat="1" applyFont="1" applyFill="1"/>
    <xf numFmtId="188" fontId="88" fillId="10" borderId="0" xfId="2831" applyNumberFormat="1" applyFont="1" applyFill="1" applyAlignment="1">
      <alignment horizontal="left"/>
    </xf>
    <xf numFmtId="1" fontId="88" fillId="10" borderId="0" xfId="2831" applyNumberFormat="1" applyFont="1" applyFill="1" applyAlignment="1">
      <alignment horizontal="left"/>
    </xf>
    <xf numFmtId="188" fontId="88" fillId="10" borderId="0" xfId="2831" applyNumberFormat="1" applyFont="1" applyFill="1"/>
    <xf numFmtId="4" fontId="83" fillId="10" borderId="0" xfId="2831" applyNumberFormat="1" applyFont="1" applyFill="1" applyAlignment="1">
      <alignment horizontal="right"/>
    </xf>
    <xf numFmtId="0" fontId="83" fillId="10" borderId="0" xfId="2831" applyFont="1" applyFill="1" applyAlignment="1">
      <alignment horizontal="left"/>
    </xf>
    <xf numFmtId="190" fontId="83" fillId="10" borderId="0" xfId="2822" applyNumberFormat="1" applyFont="1" applyFill="1" applyAlignment="1">
      <alignment horizontal="left"/>
    </xf>
    <xf numFmtId="190" fontId="83" fillId="10" borderId="0" xfId="2822" applyNumberFormat="1" applyFont="1" applyFill="1"/>
    <xf numFmtId="0" fontId="83" fillId="10" borderId="0" xfId="2822" applyFont="1" applyFill="1"/>
    <xf numFmtId="0" fontId="83" fillId="10" borderId="0" xfId="2822" applyFont="1" applyFill="1" applyAlignment="1">
      <alignment horizontal="right"/>
    </xf>
    <xf numFmtId="2" fontId="83" fillId="10" borderId="0" xfId="2822" applyNumberFormat="1" applyFont="1" applyFill="1" applyAlignment="1">
      <alignment horizontal="right"/>
    </xf>
    <xf numFmtId="191" fontId="83" fillId="10" borderId="0" xfId="2822" applyNumberFormat="1" applyFont="1" applyFill="1"/>
    <xf numFmtId="193" fontId="83" fillId="10" borderId="0" xfId="2822" applyNumberFormat="1" applyFont="1" applyFill="1" applyAlignment="1">
      <alignment horizontal="right"/>
    </xf>
    <xf numFmtId="188" fontId="83" fillId="10" borderId="0" xfId="2822" applyNumberFormat="1" applyFont="1" applyFill="1" applyAlignment="1">
      <alignment horizontal="right"/>
    </xf>
    <xf numFmtId="1" fontId="83" fillId="10" borderId="0" xfId="2822" applyNumberFormat="1" applyFont="1" applyFill="1" applyAlignment="1">
      <alignment horizontal="right"/>
    </xf>
    <xf numFmtId="0" fontId="2" fillId="10" borderId="0" xfId="2822" applyFill="1"/>
    <xf numFmtId="1" fontId="83" fillId="10" borderId="0" xfId="2822" applyNumberFormat="1" applyFont="1" applyFill="1" applyAlignment="1">
      <alignment horizontal="left"/>
    </xf>
    <xf numFmtId="188" fontId="83" fillId="10" borderId="0" xfId="2822" applyNumberFormat="1" applyFont="1" applyFill="1" applyAlignment="1">
      <alignment horizontal="left"/>
    </xf>
    <xf numFmtId="1" fontId="83" fillId="10" borderId="0" xfId="2822" applyNumberFormat="1" applyFont="1" applyFill="1"/>
    <xf numFmtId="188" fontId="83" fillId="10" borderId="0" xfId="2822" applyNumberFormat="1" applyFont="1" applyFill="1"/>
    <xf numFmtId="1" fontId="88" fillId="10" borderId="0" xfId="2822" applyNumberFormat="1" applyFont="1" applyFill="1" applyAlignment="1">
      <alignment horizontal="left"/>
    </xf>
    <xf numFmtId="188" fontId="88" fillId="10" borderId="0" xfId="2822" applyNumberFormat="1" applyFont="1" applyFill="1" applyAlignment="1">
      <alignment horizontal="left"/>
    </xf>
    <xf numFmtId="188" fontId="88" fillId="10" borderId="0" xfId="2822" applyNumberFormat="1" applyFont="1" applyFill="1"/>
    <xf numFmtId="0" fontId="18" fillId="2" borderId="2" xfId="0" applyFont="1" applyFill="1" applyBorder="1" applyAlignment="1">
      <alignment horizontal="center"/>
    </xf>
    <xf numFmtId="0" fontId="18" fillId="0" borderId="0" xfId="0" applyFont="1" applyAlignment="1">
      <alignment horizontal="center"/>
    </xf>
    <xf numFmtId="0" fontId="19" fillId="0" borderId="0" xfId="0" applyFont="1" applyAlignment="1">
      <alignment horizontal="center"/>
    </xf>
    <xf numFmtId="0" fontId="14" fillId="2" borderId="0" xfId="0" applyFont="1" applyFill="1" applyAlignment="1">
      <alignment wrapText="1"/>
    </xf>
    <xf numFmtId="0" fontId="80" fillId="0" borderId="2" xfId="2826" applyFont="1" applyBorder="1" applyAlignment="1">
      <alignment horizontal="center"/>
    </xf>
    <xf numFmtId="0" fontId="81" fillId="0" borderId="0" xfId="2826" applyFont="1" applyAlignment="1">
      <alignment horizontal="left" vertical="top" wrapText="1"/>
    </xf>
    <xf numFmtId="188" fontId="83" fillId="2" borderId="0" xfId="2825" applyNumberFormat="1" applyFont="1" applyFill="1" applyAlignment="1">
      <alignment horizontal="left" vertical="center" wrapText="1"/>
    </xf>
    <xf numFmtId="2" fontId="83" fillId="2" borderId="0" xfId="2825" applyNumberFormat="1" applyFont="1" applyFill="1" applyAlignment="1">
      <alignment horizontal="left" vertical="center" wrapText="1"/>
    </xf>
    <xf numFmtId="188" fontId="83" fillId="2" borderId="0" xfId="2831" applyNumberFormat="1" applyFont="1" applyFill="1" applyAlignment="1">
      <alignment horizontal="left" vertical="center" wrapText="1"/>
    </xf>
    <xf numFmtId="2" fontId="83" fillId="2" borderId="0" xfId="2831" applyNumberFormat="1" applyFont="1" applyFill="1" applyAlignment="1">
      <alignment horizontal="left" vertical="center" wrapText="1"/>
    </xf>
    <xf numFmtId="188" fontId="83" fillId="0" borderId="0" xfId="2822" applyNumberFormat="1" applyFont="1" applyAlignment="1">
      <alignment horizontal="left" vertical="center" wrapText="1"/>
    </xf>
    <xf numFmtId="2" fontId="83" fillId="0" borderId="0" xfId="2822" applyNumberFormat="1" applyFont="1" applyAlignment="1">
      <alignment horizontal="left" vertical="center" wrapText="1"/>
    </xf>
    <xf numFmtId="166" fontId="19" fillId="0" borderId="0" xfId="4" applyNumberFormat="1" applyFont="1" applyAlignment="1">
      <alignment horizontal="center" vertical="center"/>
    </xf>
    <xf numFmtId="166" fontId="18" fillId="0" borderId="2" xfId="4" applyNumberFormat="1" applyFont="1" applyBorder="1" applyAlignment="1">
      <alignment horizontal="center" vertical="center"/>
    </xf>
    <xf numFmtId="0" fontId="18" fillId="4" borderId="22" xfId="7" applyFont="1" applyFill="1" applyBorder="1" applyAlignment="1">
      <alignment horizontal="center"/>
    </xf>
    <xf numFmtId="164" fontId="18" fillId="0" borderId="0" xfId="7" applyNumberFormat="1" applyFont="1" applyAlignment="1">
      <alignment horizontal="center"/>
    </xf>
    <xf numFmtId="164" fontId="19" fillId="0" borderId="0" xfId="3" applyNumberFormat="1" applyFont="1" applyFill="1" applyAlignment="1">
      <alignment horizontal="center"/>
    </xf>
    <xf numFmtId="0" fontId="16" fillId="4" borderId="2" xfId="11" applyFont="1" applyFill="1" applyBorder="1" applyAlignment="1">
      <alignment horizontal="center"/>
    </xf>
    <xf numFmtId="0" fontId="16" fillId="4" borderId="0" xfId="11" applyFont="1" applyFill="1" applyAlignment="1">
      <alignment horizontal="center" vertical="center" wrapText="1"/>
    </xf>
    <xf numFmtId="0" fontId="16" fillId="4" borderId="2" xfId="11" applyFont="1" applyFill="1" applyBorder="1" applyAlignment="1">
      <alignment horizontal="center" vertical="center" wrapText="1"/>
    </xf>
    <xf numFmtId="0" fontId="14" fillId="0" borderId="0" xfId="11" quotePrefix="1" applyFont="1" applyAlignment="1">
      <alignment horizontal="left" vertical="top" wrapText="1"/>
    </xf>
    <xf numFmtId="9" fontId="19" fillId="0" borderId="0" xfId="1" applyFont="1" applyAlignment="1">
      <alignment horizontal="center"/>
    </xf>
    <xf numFmtId="0" fontId="18" fillId="4" borderId="2" xfId="11" applyFont="1" applyFill="1" applyBorder="1" applyAlignment="1">
      <alignment horizontal="center"/>
    </xf>
    <xf numFmtId="0" fontId="18" fillId="4" borderId="0" xfId="11" applyFont="1" applyFill="1" applyAlignment="1">
      <alignment horizontal="center" vertical="center" wrapText="1"/>
    </xf>
    <xf numFmtId="0" fontId="18" fillId="4" borderId="2" xfId="11" applyFont="1" applyFill="1" applyBorder="1" applyAlignment="1">
      <alignment horizontal="center" vertical="center" wrapText="1"/>
    </xf>
    <xf numFmtId="0" fontId="18" fillId="0" borderId="2" xfId="11" applyFont="1" applyBorder="1" applyAlignment="1">
      <alignment horizontal="center"/>
    </xf>
    <xf numFmtId="0" fontId="18" fillId="4" borderId="2" xfId="7" applyFont="1" applyFill="1" applyBorder="1" applyAlignment="1">
      <alignment horizontal="center"/>
    </xf>
    <xf numFmtId="43" fontId="18" fillId="4" borderId="2" xfId="8" applyFont="1" applyFill="1" applyBorder="1" applyAlignment="1">
      <alignment horizontal="center"/>
    </xf>
    <xf numFmtId="0" fontId="19" fillId="4" borderId="0" xfId="7" applyFont="1" applyFill="1" applyAlignment="1">
      <alignment horizontal="center"/>
    </xf>
    <xf numFmtId="10" fontId="18" fillId="4" borderId="2" xfId="4" quotePrefix="1" applyNumberFormat="1" applyFont="1" applyFill="1" applyBorder="1" applyAlignment="1">
      <alignment horizontal="center"/>
    </xf>
    <xf numFmtId="0" fontId="18" fillId="4" borderId="2" xfId="4" applyFont="1" applyFill="1" applyBorder="1" applyAlignment="1">
      <alignment horizontal="center"/>
    </xf>
    <xf numFmtId="10" fontId="18" fillId="4" borderId="2" xfId="4" applyNumberFormat="1" applyFont="1" applyFill="1" applyBorder="1" applyAlignment="1">
      <alignment horizontal="center"/>
    </xf>
    <xf numFmtId="0" fontId="18" fillId="4" borderId="2" xfId="4" quotePrefix="1" applyFont="1" applyFill="1" applyBorder="1" applyAlignment="1">
      <alignment horizontal="center"/>
    </xf>
    <xf numFmtId="0" fontId="18" fillId="4" borderId="2" xfId="0" applyFont="1" applyFill="1" applyBorder="1" applyAlignment="1">
      <alignment horizontal="center"/>
    </xf>
    <xf numFmtId="0" fontId="14" fillId="0" borderId="0" xfId="0" applyFont="1" applyAlignment="1">
      <alignment horizontal="left" vertical="center" wrapText="1"/>
    </xf>
    <xf numFmtId="2" fontId="18" fillId="4" borderId="2" xfId="8" applyNumberFormat="1" applyFont="1" applyFill="1" applyBorder="1" applyAlignment="1">
      <alignment horizontal="center"/>
    </xf>
    <xf numFmtId="0" fontId="14" fillId="0" borderId="0" xfId="7" applyFont="1" applyAlignment="1">
      <alignment horizontal="left" vertical="top" wrapText="1"/>
    </xf>
    <xf numFmtId="0" fontId="14" fillId="0" borderId="0" xfId="4" applyFont="1" applyAlignment="1">
      <alignment horizontal="left" vertical="top" wrapText="1"/>
    </xf>
    <xf numFmtId="0" fontId="14" fillId="0" borderId="0" xfId="12" applyFont="1" applyAlignment="1">
      <alignment horizontal="left" wrapText="1"/>
    </xf>
    <xf numFmtId="0" fontId="66" fillId="0" borderId="1" xfId="0" applyFont="1" applyBorder="1" applyAlignment="1">
      <alignment horizontal="center"/>
    </xf>
    <xf numFmtId="195" fontId="19" fillId="0" borderId="0" xfId="3" applyNumberFormat="1" applyFont="1" applyFill="1" applyBorder="1" applyAlignment="1">
      <alignment horizontal="center"/>
    </xf>
    <xf numFmtId="195" fontId="19" fillId="0" borderId="0" xfId="3" applyNumberFormat="1" applyFont="1" applyAlignment="1">
      <alignment horizontal="center"/>
    </xf>
    <xf numFmtId="164" fontId="18" fillId="0" borderId="2" xfId="0" applyNumberFormat="1" applyFont="1" applyBorder="1" applyAlignment="1">
      <alignment horizontal="center"/>
    </xf>
    <xf numFmtId="164" fontId="18" fillId="0" borderId="2" xfId="3" applyNumberFormat="1" applyFont="1" applyFill="1" applyBorder="1" applyAlignment="1">
      <alignment horizontal="center"/>
    </xf>
    <xf numFmtId="164" fontId="19" fillId="0" borderId="0" xfId="0" applyNumberFormat="1" applyFont="1" applyAlignment="1">
      <alignment horizontal="center"/>
    </xf>
    <xf numFmtId="10" fontId="23" fillId="0" borderId="0" xfId="35" applyNumberFormat="1" applyFont="1" applyAlignment="1">
      <alignment horizontal="center"/>
    </xf>
    <xf numFmtId="0" fontId="14" fillId="0" borderId="2" xfId="35" applyFont="1" applyBorder="1" applyAlignment="1">
      <alignment horizontal="center"/>
    </xf>
    <xf numFmtId="0" fontId="14" fillId="0" borderId="2" xfId="35" quotePrefix="1" applyFont="1" applyBorder="1" applyAlignment="1">
      <alignment horizontal="center"/>
    </xf>
    <xf numFmtId="0" fontId="14" fillId="0" borderId="0" xfId="35" applyFont="1" applyAlignment="1">
      <alignment horizontal="center"/>
    </xf>
    <xf numFmtId="0" fontId="18" fillId="0" borderId="0" xfId="7" applyFont="1" applyAlignment="1">
      <alignment horizontal="center" wrapText="1"/>
    </xf>
    <xf numFmtId="0" fontId="18" fillId="0" borderId="2" xfId="7" applyFont="1" applyBorder="1" applyAlignment="1">
      <alignment horizontal="center" wrapText="1"/>
    </xf>
    <xf numFmtId="0" fontId="18" fillId="0" borderId="2" xfId="7" applyFont="1" applyBorder="1" applyAlignment="1">
      <alignment horizontal="center"/>
    </xf>
    <xf numFmtId="0" fontId="18" fillId="0" borderId="2" xfId="0" applyFont="1" applyBorder="1" applyAlignment="1">
      <alignment horizontal="center"/>
    </xf>
    <xf numFmtId="0" fontId="19" fillId="0" borderId="0" xfId="7" applyFont="1" applyAlignment="1">
      <alignment horizontal="center"/>
    </xf>
    <xf numFmtId="0" fontId="54" fillId="0" borderId="0" xfId="7" applyFont="1" applyAlignment="1">
      <alignment horizontal="center"/>
    </xf>
    <xf numFmtId="0" fontId="14" fillId="0" borderId="0" xfId="0" applyFont="1" applyAlignment="1">
      <alignment horizontal="left" vertical="top" wrapText="1"/>
    </xf>
    <xf numFmtId="0" fontId="75" fillId="0" borderId="0" xfId="0" applyFont="1" applyAlignment="1">
      <alignment vertical="center"/>
    </xf>
    <xf numFmtId="0" fontId="0" fillId="0" borderId="0" xfId="0"/>
    <xf numFmtId="0" fontId="76" fillId="9" borderId="0" xfId="0" applyFont="1" applyFill="1"/>
    <xf numFmtId="0" fontId="18" fillId="0" borderId="2" xfId="2" applyFont="1" applyBorder="1" applyAlignment="1">
      <alignment horizontal="center"/>
    </xf>
  </cellXfs>
  <cellStyles count="2835">
    <cellStyle name="Comma" xfId="2834" builtinId="3"/>
    <cellStyle name="Comma [0] 2" xfId="88" xr:uid="{806ABF1A-8666-4177-AF1D-7A7C0299C8D9}"/>
    <cellStyle name="Comma [0] 2 10" xfId="84" xr:uid="{7EE7A809-B361-4194-921C-584AD7BF93F6}"/>
    <cellStyle name="Comma [0] 2 11" xfId="89" xr:uid="{FBB758F1-27A6-4047-B928-FEEA5D430DDA}"/>
    <cellStyle name="Comma [0] 2 12" xfId="86" xr:uid="{2BF8FFF3-EA75-4DE1-A3CA-A5BA7100B113}"/>
    <cellStyle name="Comma [0] 2 13" xfId="92" xr:uid="{D5B5C2D7-E6C9-449D-8782-826647AD0DEB}"/>
    <cellStyle name="Comma [0] 2 14" xfId="91" xr:uid="{7F7BCA18-03C2-4249-96CE-ACD91EB2090D}"/>
    <cellStyle name="Comma [0] 2 15" xfId="81" xr:uid="{11301C3B-ADB7-4773-97C3-B05DD36B3AD1}"/>
    <cellStyle name="Comma [0] 2 16" xfId="82" xr:uid="{B81D69C1-0062-4B7A-AA00-E7B65F20023D}"/>
    <cellStyle name="Comma [0] 2 17" xfId="70" xr:uid="{67E3B782-4444-4956-B466-1DCE5AA8D854}"/>
    <cellStyle name="Comma [0] 2 18" xfId="87" xr:uid="{BC23391D-5015-4AC9-BC4F-3E62EB2820D4}"/>
    <cellStyle name="Comma [0] 2 19" xfId="90" xr:uid="{B72DC717-4F4C-42F9-9409-86EEC103D195}"/>
    <cellStyle name="Comma [0] 2 2" xfId="83" xr:uid="{A0EBE790-CCBD-4378-B3D6-AA60716BBDE3}"/>
    <cellStyle name="Comma [0] 2 20" xfId="85" xr:uid="{4A606FB4-E45E-427B-AD03-FFA9D667CF39}"/>
    <cellStyle name="Comma [0] 2 21" xfId="93" xr:uid="{226F3404-F977-4F5B-8711-E33D638228FB}"/>
    <cellStyle name="Comma [0] 2 22" xfId="94" xr:uid="{6AC3DE56-EF93-42BE-91ED-C80EE0FFB0D3}"/>
    <cellStyle name="Comma [0] 2 23" xfId="95" xr:uid="{786F30D1-6E17-4972-BFA2-459C27EE9FB0}"/>
    <cellStyle name="Comma [0] 2 24" xfId="96" xr:uid="{CB8E67A9-069B-470F-B8BD-234FC1473D87}"/>
    <cellStyle name="Comma [0] 2 25" xfId="97" xr:uid="{7F93B165-A5E7-4F50-B4CE-3436261C56D6}"/>
    <cellStyle name="Comma [0] 2 26" xfId="98" xr:uid="{D8366086-DBB0-4AF0-9618-7831F3DF8CDA}"/>
    <cellStyle name="Comma [0] 2 27" xfId="99" xr:uid="{733C8288-A46C-4C1F-9B8E-75C62298FCD0}"/>
    <cellStyle name="Comma [0] 2 28" xfId="100" xr:uid="{C357CF7C-E344-4C71-B0E1-38B548D131B0}"/>
    <cellStyle name="Comma [0] 2 29" xfId="101" xr:uid="{C8CFBBA4-8205-4A7E-AA8B-0AC90913B702}"/>
    <cellStyle name="Comma [0] 2 3" xfId="102" xr:uid="{EB88E918-64E8-4A2D-BCA1-2C7DC95ACC89}"/>
    <cellStyle name="Comma [0] 2 30" xfId="103" xr:uid="{17B16B9F-5A92-4FB2-A1AD-5FB25D28B07B}"/>
    <cellStyle name="Comma [0] 2 31" xfId="104" xr:uid="{A948D554-2764-4C29-951E-F618AA77618A}"/>
    <cellStyle name="Comma [0] 2 32" xfId="105" xr:uid="{626D86F9-5CCF-4115-94D7-EF60AD01A40E}"/>
    <cellStyle name="Comma [0] 2 33" xfId="106" xr:uid="{0C78C599-7AF2-468A-B530-C40737D3C3B7}"/>
    <cellStyle name="Comma [0] 2 34" xfId="107" xr:uid="{2234576A-9EFE-4701-B6F8-A87AC3A6D15D}"/>
    <cellStyle name="Comma [0] 2 35" xfId="108" xr:uid="{CD85977E-C510-44F9-8F48-0EC0AEEA4D5B}"/>
    <cellStyle name="Comma [0] 2 36" xfId="109" xr:uid="{3248B8FA-8220-43BD-8F60-2D363B85AF7B}"/>
    <cellStyle name="Comma [0] 2 37" xfId="110" xr:uid="{CB2AFD8E-FAD1-46E4-8C53-DEAB268BB9AC}"/>
    <cellStyle name="Comma [0] 2 38" xfId="111" xr:uid="{9D26E15E-C3D9-4FC6-824E-97F2368FB436}"/>
    <cellStyle name="Comma [0] 2 39" xfId="112" xr:uid="{F6636EFC-258F-449B-A6A3-5EFEDD133B7B}"/>
    <cellStyle name="Comma [0] 2 4" xfId="113" xr:uid="{0554F9DF-BB7B-4D10-9F27-8DCBD4D52D39}"/>
    <cellStyle name="Comma [0] 2 40" xfId="114" xr:uid="{FC69D6A6-CF3A-4BD2-A0EE-583AFF3EC36B}"/>
    <cellStyle name="Comma [0] 2 41" xfId="115" xr:uid="{91BD6DB7-15AB-4749-A363-DF33A15CBE46}"/>
    <cellStyle name="Comma [0] 2 42" xfId="116" xr:uid="{82409F1D-177E-4418-8E6B-1791E6EA5B59}"/>
    <cellStyle name="Comma [0] 2 43" xfId="117" xr:uid="{93E726C5-3B5E-478A-9EA7-8DAF7624B6AC}"/>
    <cellStyle name="Comma [0] 2 44" xfId="118" xr:uid="{E0FF02A0-E8DA-4092-A438-59166B922CD6}"/>
    <cellStyle name="Comma [0] 2 45" xfId="119" xr:uid="{3417A9E5-8A28-4623-8F09-27AF39D0D027}"/>
    <cellStyle name="Comma [0] 2 46" xfId="120" xr:uid="{53BD2BC5-420B-49FF-8B9C-254216905463}"/>
    <cellStyle name="Comma [0] 2 47" xfId="121" xr:uid="{5166F9F9-DE27-40F8-BEB9-F5968BC1BA6A}"/>
    <cellStyle name="Comma [0] 2 48" xfId="122" xr:uid="{7E4C611F-6D8C-4D15-ABDC-F873734501E6}"/>
    <cellStyle name="Comma [0] 2 49" xfId="123" xr:uid="{3BE66ECB-B442-4758-9496-E438FAB49F6E}"/>
    <cellStyle name="Comma [0] 2 5" xfId="124" xr:uid="{4E532FB9-C5DE-4734-AFEF-BE0EA88EE110}"/>
    <cellStyle name="Comma [0] 2 50" xfId="125" xr:uid="{8EAA83F2-BDE1-462B-921A-56BF6ECA236A}"/>
    <cellStyle name="Comma [0] 2 51" xfId="126" xr:uid="{F8D19384-87D7-485E-9B2E-A4CFE061C96F}"/>
    <cellStyle name="Comma [0] 2 52" xfId="127" xr:uid="{E93068F3-6331-4FDA-A33D-11B04640BDDF}"/>
    <cellStyle name="Comma [0] 2 53" xfId="128" xr:uid="{27303E18-EBC8-43BB-BF16-A365A4ADD971}"/>
    <cellStyle name="Comma [0] 2 54" xfId="129" xr:uid="{B2D0535A-537B-4017-8D89-472D851FEE6F}"/>
    <cellStyle name="Comma [0] 2 55" xfId="130" xr:uid="{CE8F8927-B86F-4FB7-A80B-369957208544}"/>
    <cellStyle name="Comma [0] 2 56" xfId="131" xr:uid="{1A1EA25C-31B4-4583-86CF-04D1FCB6F25C}"/>
    <cellStyle name="Comma [0] 2 57" xfId="132" xr:uid="{203FC555-2CFC-4E8E-8170-36D2242E490A}"/>
    <cellStyle name="Comma [0] 2 58" xfId="133" xr:uid="{F9922879-DD5F-4FF8-AB63-D33354CD249E}"/>
    <cellStyle name="Comma [0] 2 59" xfId="134" xr:uid="{A52C37FB-F3D3-4FC2-95CA-3FA2378994FC}"/>
    <cellStyle name="Comma [0] 2 6" xfId="135" xr:uid="{D73A6AF3-91A5-48C7-8EDA-720889A6B73C}"/>
    <cellStyle name="Comma [0] 2 60" xfId="136" xr:uid="{78590900-2908-4E6A-9A6D-85C65D5AF135}"/>
    <cellStyle name="Comma [0] 2 61" xfId="137" xr:uid="{0FCA611F-525E-41F0-A193-9E9B89942411}"/>
    <cellStyle name="Comma [0] 2 62" xfId="138" xr:uid="{C1343758-E424-4279-A5AC-908BAF79403C}"/>
    <cellStyle name="Comma [0] 2 63" xfId="139" xr:uid="{A6C15653-7881-4F44-B025-54B79A7975FD}"/>
    <cellStyle name="Comma [0] 2 7" xfId="140" xr:uid="{F92E78D7-7F66-48B5-B59A-AA0ECE2C1FA9}"/>
    <cellStyle name="Comma [0] 2 8" xfId="141" xr:uid="{8975CE95-D754-4A18-BD87-B933D4E16E85}"/>
    <cellStyle name="Comma [0] 2 9" xfId="142" xr:uid="{094CE19E-FF64-4A7C-8ED2-CB0E612D58A3}"/>
    <cellStyle name="Comma 10" xfId="8" xr:uid="{00000000-0005-0000-0000-000001000000}"/>
    <cellStyle name="Comma 11" xfId="26" xr:uid="{00000000-0005-0000-0000-000002000000}"/>
    <cellStyle name="Comma 11 10" xfId="144" xr:uid="{020A3310-0A21-41CC-9692-EEFC8C21FE4F}"/>
    <cellStyle name="Comma 11 11" xfId="145" xr:uid="{D1465703-DC03-45C3-B167-E45D5905B494}"/>
    <cellStyle name="Comma 11 12" xfId="146" xr:uid="{817F30A5-F26C-47EB-ABA8-A6EAE60C933F}"/>
    <cellStyle name="Comma 11 13" xfId="147" xr:uid="{28B7CB74-D018-4DA2-BD06-8A3B31D80D7C}"/>
    <cellStyle name="Comma 11 14" xfId="148" xr:uid="{A91DF0F5-7BCE-4BB8-872B-F2817939DEC6}"/>
    <cellStyle name="Comma 11 15" xfId="149" xr:uid="{E92183D3-FADD-4859-93EA-0FFD68D5F21C}"/>
    <cellStyle name="Comma 11 16" xfId="150" xr:uid="{83F77207-844F-4A44-AF24-FC4E869B4D68}"/>
    <cellStyle name="Comma 11 17" xfId="151" xr:uid="{AC98B6EB-F7F6-4F82-B168-985C294240D5}"/>
    <cellStyle name="Comma 11 18" xfId="152" xr:uid="{6872A6A0-1359-4A2B-BD1F-BCADE943C95A}"/>
    <cellStyle name="Comma 11 19" xfId="153" xr:uid="{502A4D15-9CE4-4DDD-BD87-549CACEB2DAE}"/>
    <cellStyle name="Comma 11 2" xfId="154" xr:uid="{E796BB16-DBBD-421F-A3A8-724BB8F67960}"/>
    <cellStyle name="Comma 11 20" xfId="155" xr:uid="{8DD9FE6B-913F-4C40-A36E-33CB46CCEBDC}"/>
    <cellStyle name="Comma 11 21" xfId="156" xr:uid="{6197157C-2981-4829-9808-D63BDDD1EDE6}"/>
    <cellStyle name="Comma 11 22" xfId="157" xr:uid="{A3952BA9-99BB-4E40-B57B-622D6C985217}"/>
    <cellStyle name="Comma 11 23" xfId="158" xr:uid="{B57839F7-F872-41A5-9650-9FCDC7C0BB41}"/>
    <cellStyle name="Comma 11 24" xfId="159" xr:uid="{33DD2C40-3078-471D-BAD8-805774D3ECEF}"/>
    <cellStyle name="Comma 11 25" xfId="160" xr:uid="{36C55A78-D2BB-4864-9238-5EB0BE80FF2E}"/>
    <cellStyle name="Comma 11 26" xfId="161" xr:uid="{A4EC4728-0BCB-4EAA-98BD-5ABB01B46B35}"/>
    <cellStyle name="Comma 11 27" xfId="162" xr:uid="{3DF5439D-955B-4BE2-A707-09CBAD25F078}"/>
    <cellStyle name="Comma 11 28" xfId="163" xr:uid="{9E7160AD-9990-489C-A469-9AFA2ED31A07}"/>
    <cellStyle name="Comma 11 29" xfId="164" xr:uid="{A19567A3-FA6C-4F36-A521-591A3858E84F}"/>
    <cellStyle name="Comma 11 3" xfId="165" xr:uid="{3ED3FAAA-12FA-4292-B01B-9E0F26D6DEC3}"/>
    <cellStyle name="Comma 11 30" xfId="166" xr:uid="{3E37B31F-399B-425F-9D5A-615344AE9C6D}"/>
    <cellStyle name="Comma 11 31" xfId="167" xr:uid="{A48193AF-F9BC-41A6-B9AA-661A422081CE}"/>
    <cellStyle name="Comma 11 32" xfId="168" xr:uid="{90759305-1C9A-43F0-8383-28847B2EBDA5}"/>
    <cellStyle name="Comma 11 33" xfId="169" xr:uid="{862B5BED-FC37-4022-BE13-C6893F0D4E86}"/>
    <cellStyle name="Comma 11 34" xfId="170" xr:uid="{DBC63330-2138-48B6-B623-7F3C5B638DF6}"/>
    <cellStyle name="Comma 11 35" xfId="171" xr:uid="{7ABFAED3-E207-42E3-802A-3F32185A208A}"/>
    <cellStyle name="Comma 11 36" xfId="172" xr:uid="{BD6C0ABA-EB0E-49FD-9469-EFED5C4D7DF5}"/>
    <cellStyle name="Comma 11 37" xfId="173" xr:uid="{43F5EC7D-B2CB-40EE-A1BD-B59D883AE5D4}"/>
    <cellStyle name="Comma 11 38" xfId="174" xr:uid="{E352D4A8-6D81-49C7-B486-839063C465FF}"/>
    <cellStyle name="Comma 11 39" xfId="175" xr:uid="{AF0B8BAB-AF94-4D17-B892-66A7162C6EE8}"/>
    <cellStyle name="Comma 11 4" xfId="176" xr:uid="{993BC500-1884-4360-95DC-C105AE7F9EB8}"/>
    <cellStyle name="Comma 11 40" xfId="177" xr:uid="{4C67D384-97CB-4C6D-ACBD-7E494089FD12}"/>
    <cellStyle name="Comma 11 41" xfId="178" xr:uid="{1A27CF3D-6ED5-40F3-8573-E595CB188710}"/>
    <cellStyle name="Comma 11 42" xfId="179" xr:uid="{B8C3A941-7DD0-46A3-AE8E-5068CB8BF103}"/>
    <cellStyle name="Comma 11 43" xfId="180" xr:uid="{3FF015FF-F7F0-49A1-8C12-34A49A0F936B}"/>
    <cellStyle name="Comma 11 44" xfId="181" xr:uid="{5F55891A-4F77-4EFD-A6E4-A89727F5BD86}"/>
    <cellStyle name="Comma 11 45" xfId="182" xr:uid="{15899C33-A129-4A10-8F8C-D3F34170489E}"/>
    <cellStyle name="Comma 11 46" xfId="183" xr:uid="{9183574D-67E0-4F6D-8A05-FBFA45120A43}"/>
    <cellStyle name="Comma 11 47" xfId="184" xr:uid="{8B32FBE4-BB92-466F-A271-DE2B5ABF5961}"/>
    <cellStyle name="Comma 11 48" xfId="185" xr:uid="{3463B621-FC21-448D-ABA9-A0233E43F474}"/>
    <cellStyle name="Comma 11 49" xfId="186" xr:uid="{5D6C4216-3693-4AFE-B1EF-E57ECDE1EA9B}"/>
    <cellStyle name="Comma 11 5" xfId="187" xr:uid="{0B5590A8-AC72-471A-961C-69B60A935B38}"/>
    <cellStyle name="Comma 11 50" xfId="188" xr:uid="{E76AEF78-C479-4B41-B328-508E6BDAA8B3}"/>
    <cellStyle name="Comma 11 51" xfId="189" xr:uid="{EE2DB37B-6E5F-47F3-993F-40FD6A930E20}"/>
    <cellStyle name="Comma 11 52" xfId="190" xr:uid="{8E1E682E-E734-43D2-95F8-B8DF4407EF92}"/>
    <cellStyle name="Comma 11 53" xfId="191" xr:uid="{60081586-8AFC-4926-9054-02D027E9A579}"/>
    <cellStyle name="Comma 11 54" xfId="192" xr:uid="{51071609-09E1-4560-B7F5-6C27BEB95B69}"/>
    <cellStyle name="Comma 11 55" xfId="193" xr:uid="{A1F44E16-8944-4AA6-8A2A-A03C19317F4C}"/>
    <cellStyle name="Comma 11 56" xfId="194" xr:uid="{9AE4D467-D0EB-440A-9A26-4B11670239EC}"/>
    <cellStyle name="Comma 11 57" xfId="195" xr:uid="{56C2D68B-FE47-465D-A727-BA87EF1CDC08}"/>
    <cellStyle name="Comma 11 58" xfId="196" xr:uid="{40069BD4-15AB-400A-8722-D34F2D6F39BA}"/>
    <cellStyle name="Comma 11 59" xfId="197" xr:uid="{0BB22FA7-999B-4E14-A7C0-6B567D760EC3}"/>
    <cellStyle name="Comma 11 6" xfId="198" xr:uid="{194AA29E-719D-49FE-871C-2FF81E095228}"/>
    <cellStyle name="Comma 11 60" xfId="199" xr:uid="{370E7F7C-4977-4250-AD14-AA583958282F}"/>
    <cellStyle name="Comma 11 61" xfId="200" xr:uid="{4C1BBA63-8E10-4CAD-8CB3-502E00D0A72A}"/>
    <cellStyle name="Comma 11 62" xfId="201" xr:uid="{0E47D3EC-C197-4E04-82DE-2DD36C8564E9}"/>
    <cellStyle name="Comma 11 63" xfId="202" xr:uid="{DE5DB509-0C98-4E1D-89B8-B6FBB218E31F}"/>
    <cellStyle name="Comma 11 64" xfId="143" xr:uid="{4A4B13A5-9806-4A89-B0A4-791A04758A33}"/>
    <cellStyle name="Comma 11 65" xfId="71" xr:uid="{BCD83637-FB5F-4D9A-AFED-6444623351CC}"/>
    <cellStyle name="Comma 11 65 2" xfId="2820" xr:uid="{0CD6C6B2-6819-43AC-98B0-D1CE2A969BCE}"/>
    <cellStyle name="Comma 11 65 2 2 2" xfId="2833" xr:uid="{AF0CEC0F-225B-47A1-80B6-075F1EBA4AFB}"/>
    <cellStyle name="Comma 11 7" xfId="203" xr:uid="{1817C717-1DF2-443E-9065-729B85F39EBC}"/>
    <cellStyle name="Comma 11 8" xfId="204" xr:uid="{67065143-3CB0-4017-B4B5-06C088A8749B}"/>
    <cellStyle name="Comma 11 9" xfId="205" xr:uid="{560CD7D9-E01D-497D-973F-89886F00F6AC}"/>
    <cellStyle name="Comma 12" xfId="206" xr:uid="{C5C00090-90CB-4317-B581-218509AFDA6C}"/>
    <cellStyle name="Comma 12 10" xfId="207" xr:uid="{95423C50-C957-45C2-A77D-5CA1581E1735}"/>
    <cellStyle name="Comma 12 11" xfId="208" xr:uid="{409E64E4-CA0C-422C-AF12-8A8B11EB6998}"/>
    <cellStyle name="Comma 12 12" xfId="209" xr:uid="{33C65D5C-EEC4-439E-9A2D-338395AD4976}"/>
    <cellStyle name="Comma 12 13" xfId="210" xr:uid="{2BF7C3B0-C8B2-45C7-A0A9-DC69D03058FD}"/>
    <cellStyle name="Comma 12 14" xfId="211" xr:uid="{6F6EFDB3-AFBA-4598-BDF0-2431A9D71038}"/>
    <cellStyle name="Comma 12 15" xfId="212" xr:uid="{E301589E-25C6-4778-B3A0-5C36876584A8}"/>
    <cellStyle name="Comma 12 16" xfId="213" xr:uid="{F4BDCD09-07A6-4376-AA05-153A6CD42C07}"/>
    <cellStyle name="Comma 12 17" xfId="214" xr:uid="{A5AD6661-B30C-470A-AC8A-7AC74684B907}"/>
    <cellStyle name="Comma 12 18" xfId="215" xr:uid="{2E409C97-D901-427F-8D0A-552F5A61BE29}"/>
    <cellStyle name="Comma 12 19" xfId="216" xr:uid="{785E1333-C3F4-4334-96D7-CF15E6C22DC1}"/>
    <cellStyle name="Comma 12 2" xfId="217" xr:uid="{F933F8EC-C398-48FE-8DC9-25357FE08B9B}"/>
    <cellStyle name="Comma 12 20" xfId="218" xr:uid="{746503BD-9601-44DA-85A5-CE1793AC1C74}"/>
    <cellStyle name="Comma 12 21" xfId="219" xr:uid="{CEEC3B3C-4763-4BB0-8201-177E412FCE0F}"/>
    <cellStyle name="Comma 12 22" xfId="220" xr:uid="{8A7960D3-64F9-4ADD-8358-793B8DDFCE94}"/>
    <cellStyle name="Comma 12 23" xfId="221" xr:uid="{FE2B420C-74F6-43AD-9015-FBF32D98E1FE}"/>
    <cellStyle name="Comma 12 24" xfId="222" xr:uid="{0D0CC539-841F-4524-9CB0-5FDE5CB84C6D}"/>
    <cellStyle name="Comma 12 25" xfId="223" xr:uid="{F8DD7DCB-C931-4E21-829F-CE307FD4878B}"/>
    <cellStyle name="Comma 12 26" xfId="224" xr:uid="{70A8752F-543B-4C80-B15E-552BDD692D34}"/>
    <cellStyle name="Comma 12 27" xfId="225" xr:uid="{7BDF6736-F03A-4574-82C7-F52EC3BA05A8}"/>
    <cellStyle name="Comma 12 28" xfId="226" xr:uid="{6E1D30D8-68BA-4807-BF30-B918630465E1}"/>
    <cellStyle name="Comma 12 29" xfId="227" xr:uid="{CCD38371-C464-403B-81CA-6D6E51345317}"/>
    <cellStyle name="Comma 12 3" xfId="228" xr:uid="{38D2433D-997A-4242-BB70-67A8292F9BEF}"/>
    <cellStyle name="Comma 12 30" xfId="229" xr:uid="{E645492E-89EF-43A9-A233-578C2F8901AD}"/>
    <cellStyle name="Comma 12 31" xfId="230" xr:uid="{18796986-7125-4336-BBA5-ADA247C704DD}"/>
    <cellStyle name="Comma 12 32" xfId="231" xr:uid="{3F9EB188-6587-4473-993F-AED17CF4A521}"/>
    <cellStyle name="Comma 12 33" xfId="232" xr:uid="{161AAFB8-7DA4-4EBE-ACEB-E745F388B4E0}"/>
    <cellStyle name="Comma 12 34" xfId="233" xr:uid="{F238B3C4-8238-4A6E-BBEA-765BD56CF1A1}"/>
    <cellStyle name="Comma 12 35" xfId="234" xr:uid="{A6E315DB-7075-4206-98B1-371CFB4C566F}"/>
    <cellStyle name="Comma 12 36" xfId="235" xr:uid="{9AD2B7C9-D538-476B-936C-333F8E912604}"/>
    <cellStyle name="Comma 12 37" xfId="236" xr:uid="{9BADDA3C-38EB-4021-9C8F-D3CC8A5FA728}"/>
    <cellStyle name="Comma 12 38" xfId="237" xr:uid="{337621B2-15C6-4C3F-BF78-219B1D4EA664}"/>
    <cellStyle name="Comma 12 39" xfId="238" xr:uid="{78A98B45-BFFD-4AA0-97FF-9CD2CA3E26B2}"/>
    <cellStyle name="Comma 12 4" xfId="239" xr:uid="{01A361E5-2F47-415B-9C85-574625A3D867}"/>
    <cellStyle name="Comma 12 40" xfId="240" xr:uid="{DFB82D4D-47BE-46BC-BDA0-41DE5F5E7485}"/>
    <cellStyle name="Comma 12 41" xfId="241" xr:uid="{CCF89C9D-CFC9-44CE-813C-D6235556C011}"/>
    <cellStyle name="Comma 12 42" xfId="242" xr:uid="{96294FD4-7283-4350-A0A7-8E7F7C8EB9B3}"/>
    <cellStyle name="Comma 12 43" xfId="243" xr:uid="{40895266-72EC-4E10-B110-34D185ACEB7D}"/>
    <cellStyle name="Comma 12 44" xfId="244" xr:uid="{FCA27CEF-BDFA-4775-A03B-802571F0E87D}"/>
    <cellStyle name="Comma 12 45" xfId="245" xr:uid="{A3E4E2E5-B245-486D-84AC-02D151E8F059}"/>
    <cellStyle name="Comma 12 46" xfId="246" xr:uid="{12E6F94C-9AC5-4B61-A9D4-3773A1B3B809}"/>
    <cellStyle name="Comma 12 47" xfId="247" xr:uid="{A0817CBC-4925-40D9-98F0-A199F75BC00B}"/>
    <cellStyle name="Comma 12 48" xfId="248" xr:uid="{0D28801F-442C-49D7-B8CF-96CC9B72D923}"/>
    <cellStyle name="Comma 12 49" xfId="249" xr:uid="{C613BF61-7D9E-4C4D-AADC-42E544B0AEC2}"/>
    <cellStyle name="Comma 12 5" xfId="250" xr:uid="{7EC5B21C-5FD8-46E3-9CD3-17A9854CC7FF}"/>
    <cellStyle name="Comma 12 50" xfId="251" xr:uid="{573F9E99-AEDA-42EA-8FA4-EA70451BA73A}"/>
    <cellStyle name="Comma 12 51" xfId="252" xr:uid="{B6E061E4-F6CB-4948-B6DB-BB0BD1D2E8AF}"/>
    <cellStyle name="Comma 12 52" xfId="253" xr:uid="{C4DDCEE6-092D-4049-9EA6-2E998F494112}"/>
    <cellStyle name="Comma 12 53" xfId="254" xr:uid="{87B2B1FC-20C9-4D6F-B9C3-14A8B0D2A3B9}"/>
    <cellStyle name="Comma 12 54" xfId="255" xr:uid="{9036C91A-7EAE-4450-B3A6-AD49A7B1F86D}"/>
    <cellStyle name="Comma 12 55" xfId="256" xr:uid="{0F95D5C8-1AD1-4C97-AC59-69E2D6BFCBD9}"/>
    <cellStyle name="Comma 12 56" xfId="257" xr:uid="{AE12B174-E216-4782-89FE-E4556A46BE7D}"/>
    <cellStyle name="Comma 12 57" xfId="258" xr:uid="{5E952F5C-522D-42C9-B6AD-8D2DECD687AF}"/>
    <cellStyle name="Comma 12 58" xfId="259" xr:uid="{DE0820F2-7C59-4215-A488-5ED488D3D3D3}"/>
    <cellStyle name="Comma 12 59" xfId="260" xr:uid="{39CBC8E9-0227-43D9-B5FE-61F6269AF6B8}"/>
    <cellStyle name="Comma 12 6" xfId="261" xr:uid="{3287C94F-0208-41EE-885D-5F486F7153EE}"/>
    <cellStyle name="Comma 12 60" xfId="262" xr:uid="{B0753DA3-D6DA-42AC-AD73-3254C5BE01AE}"/>
    <cellStyle name="Comma 12 61" xfId="263" xr:uid="{FEBD624E-5245-400C-A83F-54A3EFFA429A}"/>
    <cellStyle name="Comma 12 62" xfId="264" xr:uid="{71E791CF-02D2-4142-8822-4AFEFA6C27C0}"/>
    <cellStyle name="Comma 12 63" xfId="265" xr:uid="{919710FD-00AB-4A57-BD7E-9A0350F378D4}"/>
    <cellStyle name="Comma 12 64" xfId="266" xr:uid="{005C13E6-95B1-4E8A-B6DA-8784655CCF93}"/>
    <cellStyle name="Comma 12 7" xfId="267" xr:uid="{604A19B2-725C-427F-9355-787F43EF441D}"/>
    <cellStyle name="Comma 12 8" xfId="268" xr:uid="{A3EAA19C-4A9B-4107-ADE3-0B6147D24183}"/>
    <cellStyle name="Comma 12 9" xfId="269" xr:uid="{AB081325-BB2B-4B7F-94B4-3AA696AB9A32}"/>
    <cellStyle name="Comma 13" xfId="270" xr:uid="{47F31555-32D2-4D09-B9EA-C3E71486959D}"/>
    <cellStyle name="Comma 14" xfId="271" xr:uid="{D51630FF-62F1-449E-9E2C-181B7AA57F1D}"/>
    <cellStyle name="Comma 14 10" xfId="272" xr:uid="{DEC7260B-088A-441F-8D37-AFE2C31AF1F6}"/>
    <cellStyle name="Comma 14 11" xfId="273" xr:uid="{2AF19757-E839-43D7-A7A7-07118EB111F3}"/>
    <cellStyle name="Comma 14 12" xfId="274" xr:uid="{637EA153-85CC-48E7-9BBB-0A153B80A4DC}"/>
    <cellStyle name="Comma 14 13" xfId="275" xr:uid="{F2AA1B51-4502-4EE0-A0F9-803E1FCA283E}"/>
    <cellStyle name="Comma 14 14" xfId="276" xr:uid="{9FE4A615-AACC-4ACC-9A65-479F80218801}"/>
    <cellStyle name="Comma 14 15" xfId="277" xr:uid="{511C984C-691A-4BD5-B5BB-2E69C0275D59}"/>
    <cellStyle name="Comma 14 16" xfId="278" xr:uid="{31CB9375-AD5F-43B5-9BB0-0013AD360756}"/>
    <cellStyle name="Comma 14 17" xfId="279" xr:uid="{E05AEF67-23F3-4FAA-90D6-C126BE1707F1}"/>
    <cellStyle name="Comma 14 18" xfId="280" xr:uid="{E9242A67-6703-4B83-9522-383AA3E69FBF}"/>
    <cellStyle name="Comma 14 19" xfId="281" xr:uid="{1CF8D3B1-AA54-4F55-8D9C-CB194C7DD23A}"/>
    <cellStyle name="Comma 14 2" xfId="282" xr:uid="{54853160-E0F7-40D7-B950-98D437237B41}"/>
    <cellStyle name="Comma 14 20" xfId="283" xr:uid="{DF087820-3B95-47D2-B799-74C1DA9A816F}"/>
    <cellStyle name="Comma 14 21" xfId="284" xr:uid="{66F40DE3-B044-48FB-BE5E-265FF1FD3C4A}"/>
    <cellStyle name="Comma 14 22" xfId="285" xr:uid="{D872FAFE-08A4-49D1-A171-54306FCD0F1C}"/>
    <cellStyle name="Comma 14 23" xfId="286" xr:uid="{1117555B-6515-4168-948E-6F5A5ABB9ECB}"/>
    <cellStyle name="Comma 14 24" xfId="287" xr:uid="{3A70CA5A-6AB8-4D0A-9F82-C4658996D397}"/>
    <cellStyle name="Comma 14 25" xfId="288" xr:uid="{A9960433-55EE-496F-B40C-C88A9CBF7B00}"/>
    <cellStyle name="Comma 14 26" xfId="289" xr:uid="{327D0C8C-8319-45D4-BB14-58A38B687BF3}"/>
    <cellStyle name="Comma 14 27" xfId="290" xr:uid="{6C5D1314-2A5A-4B95-A5BE-A96AB2FC248B}"/>
    <cellStyle name="Comma 14 28" xfId="291" xr:uid="{8A097678-A0CC-4FCB-BE97-A687216573EB}"/>
    <cellStyle name="Comma 14 29" xfId="292" xr:uid="{8D87F92B-9B73-4284-B68C-3247E60F7F69}"/>
    <cellStyle name="Comma 14 3" xfId="293" xr:uid="{0923F1F6-8EF3-40E0-9563-CBDBF2A606BD}"/>
    <cellStyle name="Comma 14 30" xfId="294" xr:uid="{2CB5DD68-58FA-4DC2-8D02-D8229A75CF55}"/>
    <cellStyle name="Comma 14 31" xfId="295" xr:uid="{F88A80D0-714A-45FB-8FD2-C4A4D1FC6502}"/>
    <cellStyle name="Comma 14 32" xfId="296" xr:uid="{95644266-95FF-434E-BC3F-E2C6EE3155CF}"/>
    <cellStyle name="Comma 14 33" xfId="297" xr:uid="{321E30B2-CEE1-46AA-B0FA-C7C79C90255B}"/>
    <cellStyle name="Comma 14 34" xfId="298" xr:uid="{93073122-66A2-43E5-8F93-AB4FC712DECB}"/>
    <cellStyle name="Comma 14 35" xfId="299" xr:uid="{61E3E345-7E69-4842-81DA-9888E1492920}"/>
    <cellStyle name="Comma 14 36" xfId="300" xr:uid="{2B771989-324E-4839-9369-04AF26672F73}"/>
    <cellStyle name="Comma 14 37" xfId="301" xr:uid="{FD8EF80B-6340-46F6-8227-2DF2D0CBD45A}"/>
    <cellStyle name="Comma 14 38" xfId="302" xr:uid="{6C527D91-BD31-424D-B53F-40AF364543B9}"/>
    <cellStyle name="Comma 14 39" xfId="303" xr:uid="{D7185E7B-E3DF-4028-95D2-1944494C84B6}"/>
    <cellStyle name="Comma 14 4" xfId="304" xr:uid="{66797A42-7C78-4ACF-9651-821A0E9817A3}"/>
    <cellStyle name="Comma 14 40" xfId="305" xr:uid="{04D4AD55-FCC2-484D-8733-405F9F93EE08}"/>
    <cellStyle name="Comma 14 41" xfId="306" xr:uid="{076EC01D-D346-4D8E-BBCC-C1E817E3FC21}"/>
    <cellStyle name="Comma 14 42" xfId="307" xr:uid="{5CCBCD2E-8554-44CE-A793-D3E61030D56A}"/>
    <cellStyle name="Comma 14 43" xfId="308" xr:uid="{A59E0281-1DF2-437C-B0E6-3FCAF74286BB}"/>
    <cellStyle name="Comma 14 44" xfId="309" xr:uid="{0123D308-3499-430C-B3E6-2C9FEEA25780}"/>
    <cellStyle name="Comma 14 45" xfId="310" xr:uid="{BE1B0DBC-9BAA-4C68-AEF5-BBF5CDC207EB}"/>
    <cellStyle name="Comma 14 46" xfId="311" xr:uid="{0507CB62-C30D-49F7-9E0C-AF73F188761B}"/>
    <cellStyle name="Comma 14 47" xfId="312" xr:uid="{0A957422-2888-4304-81FB-BAC49B3063B2}"/>
    <cellStyle name="Comma 14 48" xfId="313" xr:uid="{AD1DCC29-3248-4BB7-B928-F5545D14B3B6}"/>
    <cellStyle name="Comma 14 49" xfId="314" xr:uid="{05B10DCE-3D0B-40AB-A623-785EB434CC01}"/>
    <cellStyle name="Comma 14 5" xfId="315" xr:uid="{C3F4226C-07AD-49EA-9A19-B7D1E0EC52D2}"/>
    <cellStyle name="Comma 14 50" xfId="316" xr:uid="{49543068-AC05-4D00-9E07-E987A5A749A0}"/>
    <cellStyle name="Comma 14 51" xfId="317" xr:uid="{C7D8E0A7-A57E-44C0-A020-7418B63962BD}"/>
    <cellStyle name="Comma 14 52" xfId="318" xr:uid="{EAFAFBC6-9353-445B-9690-524D80531889}"/>
    <cellStyle name="Comma 14 53" xfId="319" xr:uid="{4AF7F97F-CCA3-4C80-ACD7-6BECDC38FE85}"/>
    <cellStyle name="Comma 14 54" xfId="320" xr:uid="{169AA5F7-AEE1-4E76-B62C-983A6818323C}"/>
    <cellStyle name="Comma 14 55" xfId="321" xr:uid="{A1B4BF82-E814-4946-96D9-BDA75D3E750F}"/>
    <cellStyle name="Comma 14 56" xfId="322" xr:uid="{3169C39D-6CE0-47AF-8593-6E631F856371}"/>
    <cellStyle name="Comma 14 57" xfId="323" xr:uid="{753A9524-4910-48F1-8BC7-B36859F8CE79}"/>
    <cellStyle name="Comma 14 58" xfId="324" xr:uid="{94CB6635-FBE6-41C5-B654-26181CA55E82}"/>
    <cellStyle name="Comma 14 59" xfId="325" xr:uid="{B78AD462-1481-4A2F-8F84-DA71772CEF41}"/>
    <cellStyle name="Comma 14 6" xfId="326" xr:uid="{C5EB0FAA-60E2-482F-ADF3-457FAE2A7BCB}"/>
    <cellStyle name="Comma 14 60" xfId="327" xr:uid="{A21C54A7-ACA7-46E3-A99A-9D1109946223}"/>
    <cellStyle name="Comma 14 61" xfId="328" xr:uid="{4F32C680-D581-408D-A21E-D9426500C8FA}"/>
    <cellStyle name="Comma 14 62" xfId="329" xr:uid="{2A422CF0-2958-4633-9C73-B0CFDD684989}"/>
    <cellStyle name="Comma 14 63" xfId="330" xr:uid="{007166AB-F6EF-4561-9F15-05D157759478}"/>
    <cellStyle name="Comma 14 7" xfId="331" xr:uid="{731BA8C0-6F46-4453-B0C4-FA7B066537C8}"/>
    <cellStyle name="Comma 14 8" xfId="332" xr:uid="{8D5BB594-825F-4EE0-8F99-3563709C0E23}"/>
    <cellStyle name="Comma 14 9" xfId="333" xr:uid="{8A879934-1CCE-4E4E-A498-C664B51F11F5}"/>
    <cellStyle name="Comma 15" xfId="334" xr:uid="{BB4C8C3B-655B-4DF7-833C-BDB6643E496A}"/>
    <cellStyle name="Comma 15 10" xfId="335" xr:uid="{ED1B0E93-A4EA-4AB9-B861-2E8DEE610EAC}"/>
    <cellStyle name="Comma 15 11" xfId="336" xr:uid="{15BDD231-F5A3-43C8-B55C-FEBC4699978A}"/>
    <cellStyle name="Comma 15 12" xfId="337" xr:uid="{704FD50F-7D9B-4221-B6C7-BE5A525A8900}"/>
    <cellStyle name="Comma 15 13" xfId="338" xr:uid="{44DA4F08-0F7B-4671-8EE6-4B0EB9B3711A}"/>
    <cellStyle name="Comma 15 14" xfId="339" xr:uid="{3E9148BC-9E71-4941-B234-8BB2E0D9B3B4}"/>
    <cellStyle name="Comma 15 15" xfId="340" xr:uid="{A66A3EAC-4F1D-4E9A-ABC1-ACB6DF95AA76}"/>
    <cellStyle name="Comma 15 16" xfId="341" xr:uid="{7F38B282-2591-4090-A8A2-223425CF8CF8}"/>
    <cellStyle name="Comma 15 17" xfId="342" xr:uid="{2165900E-2A61-4FEF-818A-0E2A022A5119}"/>
    <cellStyle name="Comma 15 18" xfId="343" xr:uid="{9B578EF7-FC84-4344-91F1-0D0E724B3BBF}"/>
    <cellStyle name="Comma 15 19" xfId="344" xr:uid="{774EB822-64AF-4437-92CD-F523C3A501F9}"/>
    <cellStyle name="Comma 15 2" xfId="345" xr:uid="{8F192B3B-962B-4F9B-8A41-19DFD7E10FDD}"/>
    <cellStyle name="Comma 15 20" xfId="346" xr:uid="{2F383F79-DFC1-48B4-B7C0-60D71B96A73E}"/>
    <cellStyle name="Comma 15 21" xfId="347" xr:uid="{6C66B4E5-CB1F-41CC-99E8-B68F5477DC60}"/>
    <cellStyle name="Comma 15 22" xfId="348" xr:uid="{94659EDD-561E-49F6-9F7A-1929833502ED}"/>
    <cellStyle name="Comma 15 23" xfId="349" xr:uid="{E90D0CA4-C53E-484B-8A17-07D476FC7A07}"/>
    <cellStyle name="Comma 15 24" xfId="350" xr:uid="{318B2234-8F4D-4A39-A22F-36061B0D8070}"/>
    <cellStyle name="Comma 15 25" xfId="351" xr:uid="{5B8847FE-31FE-4472-9F39-B06610164ED9}"/>
    <cellStyle name="Comma 15 26" xfId="352" xr:uid="{FD384C6B-D4BD-4EF0-865E-EA814A0BA72E}"/>
    <cellStyle name="Comma 15 27" xfId="353" xr:uid="{DAE85E08-8350-48AD-858F-71B43D856878}"/>
    <cellStyle name="Comma 15 28" xfId="354" xr:uid="{64AFC1B6-F24C-41DC-A8D2-2602C8A755D3}"/>
    <cellStyle name="Comma 15 29" xfId="355" xr:uid="{D75457E7-D306-4A01-99C1-14BC4BD86155}"/>
    <cellStyle name="Comma 15 3" xfId="356" xr:uid="{469341ED-1456-44B2-B9F5-6A942456B407}"/>
    <cellStyle name="Comma 15 3 10" xfId="357" xr:uid="{B3CF9E48-C199-444E-A5A1-470FB3A1DBCA}"/>
    <cellStyle name="Comma 15 3 11" xfId="358" xr:uid="{41001E95-6D1B-4A63-832D-0F78C2692A73}"/>
    <cellStyle name="Comma 15 3 12" xfId="359" xr:uid="{4AE37E2C-A2C1-4490-ABE8-95979DD405B4}"/>
    <cellStyle name="Comma 15 3 13" xfId="360" xr:uid="{0B2BCBA1-9031-48BE-BA91-146F9FC69A87}"/>
    <cellStyle name="Comma 15 3 14" xfId="361" xr:uid="{D5C51265-9F7C-4F9E-B760-A02A075D28EB}"/>
    <cellStyle name="Comma 15 3 15" xfId="362" xr:uid="{DE291AEB-4C7B-4C94-B468-38887DBFAC81}"/>
    <cellStyle name="Comma 15 3 16" xfId="363" xr:uid="{4804F512-C21D-43F1-8CD4-7B525BAFC5EA}"/>
    <cellStyle name="Comma 15 3 17" xfId="364" xr:uid="{13BF1F5D-621D-4D8F-97FF-B00FB11E162C}"/>
    <cellStyle name="Comma 15 3 18" xfId="365" xr:uid="{F7F00358-4540-4471-A3AC-963B56F2DFB2}"/>
    <cellStyle name="Comma 15 3 19" xfId="366" xr:uid="{2E57D001-75F2-4F81-A823-8166145F97DC}"/>
    <cellStyle name="Comma 15 3 2" xfId="367" xr:uid="{58D2ECE6-C762-4EE1-B766-C6A6CC2FE79B}"/>
    <cellStyle name="Comma 15 3 20" xfId="368" xr:uid="{F01D915E-9876-428B-9A3B-8519D3BE4C7B}"/>
    <cellStyle name="Comma 15 3 21" xfId="369" xr:uid="{7E46A263-A594-4CA8-BDE6-91B2ADC0D5B8}"/>
    <cellStyle name="Comma 15 3 22" xfId="370" xr:uid="{94D2CEAE-1D70-47E1-B76E-7B8FE13987DB}"/>
    <cellStyle name="Comma 15 3 23" xfId="371" xr:uid="{EEE5B4EB-CB72-45C7-A9A9-FAF05F2E86E0}"/>
    <cellStyle name="Comma 15 3 24" xfId="372" xr:uid="{A8CB411C-F7E6-428A-93D9-7AE67425BB06}"/>
    <cellStyle name="Comma 15 3 25" xfId="373" xr:uid="{39AD3F18-2D2D-4324-BD22-23BD7F9080C0}"/>
    <cellStyle name="Comma 15 3 26" xfId="374" xr:uid="{DD2651DE-1DA9-4BDF-8202-55A2179B6911}"/>
    <cellStyle name="Comma 15 3 3" xfId="375" xr:uid="{F9D51204-5FCA-4D8D-A4AA-B2B09C3C1DF7}"/>
    <cellStyle name="Comma 15 3 4" xfId="376" xr:uid="{951446DB-F078-4DD8-8565-3DF9BA3EDBEA}"/>
    <cellStyle name="Comma 15 3 5" xfId="377" xr:uid="{DEFCB6D3-9F1D-4BF5-BF5C-6B9073E161D0}"/>
    <cellStyle name="Comma 15 3 6" xfId="378" xr:uid="{B5F5D74E-F30F-4C48-98BB-7F0247B14F7E}"/>
    <cellStyle name="Comma 15 3 7" xfId="379" xr:uid="{5B3BD780-6546-48DE-AC3B-131DE4B93EC3}"/>
    <cellStyle name="Comma 15 3 8" xfId="380" xr:uid="{6BBA6852-454D-48AC-8DC3-E7CB74FB3FD8}"/>
    <cellStyle name="Comma 15 3 9" xfId="381" xr:uid="{1D96CD11-398E-4007-8E14-BBC3BE364B5F}"/>
    <cellStyle name="Comma 15 30" xfId="382" xr:uid="{F87CCCF3-8C6A-4E71-9108-C516583C3F36}"/>
    <cellStyle name="Comma 15 31" xfId="383" xr:uid="{E45BDF34-AB2F-4B83-B4F0-50706D270D73}"/>
    <cellStyle name="Comma 15 32" xfId="384" xr:uid="{3E58C65E-EEA5-4CF0-8EB3-1F71F012F13D}"/>
    <cellStyle name="Comma 15 33" xfId="385" xr:uid="{5C4AED98-C258-409A-B8CD-FDF35C112D74}"/>
    <cellStyle name="Comma 15 34" xfId="386" xr:uid="{FB4A8927-5533-4B08-8594-ACC74499EFFA}"/>
    <cellStyle name="Comma 15 35" xfId="387" xr:uid="{52C89CBA-4171-46E9-8AA8-AE7FF4C9A3F1}"/>
    <cellStyle name="Comma 15 36" xfId="388" xr:uid="{16F29033-F4C5-4752-9178-1A257A69E1BF}"/>
    <cellStyle name="Comma 15 37" xfId="389" xr:uid="{60272F0F-4DD2-4ACB-9AF1-0250856DC56A}"/>
    <cellStyle name="Comma 15 38" xfId="390" xr:uid="{D788E31D-210B-4D04-BAE7-DDF53165B9EF}"/>
    <cellStyle name="Comma 15 39" xfId="391" xr:uid="{F416E0F3-3026-409F-A138-087D6B21A194}"/>
    <cellStyle name="Comma 15 4" xfId="392" xr:uid="{6ADFAA0A-9891-41C6-8E75-65159E076ED7}"/>
    <cellStyle name="Comma 15 40" xfId="393" xr:uid="{F3A76098-77A1-4BEB-A2A2-33488393C7AD}"/>
    <cellStyle name="Comma 15 41" xfId="394" xr:uid="{94EB01B9-8AB4-4C86-861A-1FC5113A1FCF}"/>
    <cellStyle name="Comma 15 42" xfId="395" xr:uid="{A4AF7612-821F-46B8-8141-1763F75F24B0}"/>
    <cellStyle name="Comma 15 43" xfId="396" xr:uid="{FC56024D-041B-4CF5-A50A-61DDC67AD576}"/>
    <cellStyle name="Comma 15 44" xfId="397" xr:uid="{E6DEEE8E-CC24-4E87-82E3-5EC91F0F525C}"/>
    <cellStyle name="Comma 15 45" xfId="398" xr:uid="{F702D87F-0590-49BE-A385-CAF91E5BE2C7}"/>
    <cellStyle name="Comma 15 46" xfId="399" xr:uid="{AF800C51-F04E-48D6-9339-463EB3D0CBA8}"/>
    <cellStyle name="Comma 15 47" xfId="400" xr:uid="{96DCDD87-2319-4526-B762-3BD051F1666E}"/>
    <cellStyle name="Comma 15 48" xfId="401" xr:uid="{F260395A-2730-42C4-ABF4-C243705765FA}"/>
    <cellStyle name="Comma 15 49" xfId="402" xr:uid="{E6D09C30-2E7A-4FF8-9784-4BFF2CEA4C10}"/>
    <cellStyle name="Comma 15 5" xfId="403" xr:uid="{B3CFE48A-E7D1-4BA4-B588-1DD441122A57}"/>
    <cellStyle name="Comma 15 5 10" xfId="404" xr:uid="{B6DCC012-FA48-459B-AF66-2902E5CDB799}"/>
    <cellStyle name="Comma 15 5 11" xfId="405" xr:uid="{882DD6A8-1623-4B59-9C2C-72703B4D87C8}"/>
    <cellStyle name="Comma 15 5 12" xfId="406" xr:uid="{7FBF87D9-0381-46D7-8385-2EEDB5F86E39}"/>
    <cellStyle name="Comma 15 5 13" xfId="407" xr:uid="{A0A2212B-D909-48DA-98B8-3A02A33FEFF5}"/>
    <cellStyle name="Comma 15 5 14" xfId="408" xr:uid="{A40D1B7A-5CF2-4B5C-B653-80F94DE386F8}"/>
    <cellStyle name="Comma 15 5 15" xfId="409" xr:uid="{C0017714-97AB-4EB5-B76A-991FE0B1B557}"/>
    <cellStyle name="Comma 15 5 16" xfId="410" xr:uid="{59AD8549-73CE-42CB-A95A-DA597E962025}"/>
    <cellStyle name="Comma 15 5 17" xfId="411" xr:uid="{7A7B1E31-F783-4C72-A639-4DF765B71005}"/>
    <cellStyle name="Comma 15 5 18" xfId="412" xr:uid="{E827858B-69AE-4E13-8183-CCF63213F918}"/>
    <cellStyle name="Comma 15 5 19" xfId="413" xr:uid="{487279A1-3AA2-4780-AE8B-6424BA330C9E}"/>
    <cellStyle name="Comma 15 5 2" xfId="414" xr:uid="{52A01FBD-FA94-4BA9-988C-3D449E03A0E0}"/>
    <cellStyle name="Comma 15 5 20" xfId="415" xr:uid="{03A20800-E331-4010-BB0A-EE1A4D90666B}"/>
    <cellStyle name="Comma 15 5 21" xfId="416" xr:uid="{CDFFE863-F27B-4B8A-A776-F3D45EABE60F}"/>
    <cellStyle name="Comma 15 5 22" xfId="417" xr:uid="{6A3AECC0-367C-4FEC-8BCD-2B43897BC5F6}"/>
    <cellStyle name="Comma 15 5 23" xfId="418" xr:uid="{C78524CB-4855-495B-A4E9-4C72652F2E3C}"/>
    <cellStyle name="Comma 15 5 24" xfId="419" xr:uid="{1F8DEB01-F309-4B8E-80D8-5ADF3235A8CC}"/>
    <cellStyle name="Comma 15 5 25" xfId="420" xr:uid="{4491A427-E6D7-40E5-A909-589FD1279C8B}"/>
    <cellStyle name="Comma 15 5 26" xfId="421" xr:uid="{C3992DAF-23E0-4297-B214-2686F998F138}"/>
    <cellStyle name="Comma 15 5 27" xfId="422" xr:uid="{F0466610-EF3C-48F3-8C71-B2356395F19F}"/>
    <cellStyle name="Comma 15 5 28" xfId="423" xr:uid="{A9FA4D43-451F-4033-AF0C-B7DA91558584}"/>
    <cellStyle name="Comma 15 5 29" xfId="424" xr:uid="{1AB3784C-0FCE-4F34-915C-E64DD8D9C4CC}"/>
    <cellStyle name="Comma 15 5 3" xfId="425" xr:uid="{C0F93EB4-5208-4020-A1CC-F541E1C5A048}"/>
    <cellStyle name="Comma 15 5 30" xfId="426" xr:uid="{F22E3926-D379-417B-8B35-EBB2C13B23BE}"/>
    <cellStyle name="Comma 15 5 31" xfId="427" xr:uid="{F5B29683-EC4E-4EC8-B0C3-6645248574AF}"/>
    <cellStyle name="Comma 15 5 32" xfId="428" xr:uid="{20A7686C-D133-4F0F-93E9-6255D41427F8}"/>
    <cellStyle name="Comma 15 5 33" xfId="429" xr:uid="{B209A503-F2BB-49C2-ADB6-4A0EFC90CA4B}"/>
    <cellStyle name="Comma 15 5 34" xfId="430" xr:uid="{89E605C0-8BE1-4758-8DFB-A18B6CD0CC94}"/>
    <cellStyle name="Comma 15 5 35" xfId="431" xr:uid="{2FBC759D-128B-4E0F-9546-729BB1390C65}"/>
    <cellStyle name="Comma 15 5 36" xfId="432" xr:uid="{70349F7B-309B-4B7A-8C47-9B00FC2034E6}"/>
    <cellStyle name="Comma 15 5 37" xfId="433" xr:uid="{F9265384-1CC6-47EC-AFEB-89B8F20CFED6}"/>
    <cellStyle name="Comma 15 5 38" xfId="434" xr:uid="{D0427E23-DDC6-481A-8F34-BAEB0B610BB5}"/>
    <cellStyle name="Comma 15 5 39" xfId="435" xr:uid="{39A25C45-C266-4F16-B29B-CBD5C388681D}"/>
    <cellStyle name="Comma 15 5 4" xfId="436" xr:uid="{E9406517-A50D-436B-A3E4-AB0C59F2DCF2}"/>
    <cellStyle name="Comma 15 5 40" xfId="437" xr:uid="{44EF50FA-1EF1-4E4B-A461-0FA35789A528}"/>
    <cellStyle name="Comma 15 5 41" xfId="438" xr:uid="{8C14914D-A432-48C9-957A-D72E0E790FBD}"/>
    <cellStyle name="Comma 15 5 42" xfId="439" xr:uid="{AE90D193-4755-4E6A-A423-6EB18417E73C}"/>
    <cellStyle name="Comma 15 5 43" xfId="440" xr:uid="{62339F67-A915-4C14-BF36-08C69305F56E}"/>
    <cellStyle name="Comma 15 5 44" xfId="441" xr:uid="{5BB4B6D4-96A1-49E7-9153-591A38F05AFC}"/>
    <cellStyle name="Comma 15 5 45" xfId="442" xr:uid="{628BEB31-6949-4D3B-89A4-B5859114A836}"/>
    <cellStyle name="Comma 15 5 46" xfId="443" xr:uid="{BB4CA190-A9C8-4EA2-A882-1A0BF1B608F5}"/>
    <cellStyle name="Comma 15 5 47" xfId="444" xr:uid="{996A27DF-9BF6-4ACD-9823-56E7BF4EA4C0}"/>
    <cellStyle name="Comma 15 5 48" xfId="445" xr:uid="{126127BB-ADF4-4F26-A01A-B308A804B852}"/>
    <cellStyle name="Comma 15 5 49" xfId="446" xr:uid="{10132135-7398-4A85-9A5B-36B304764C35}"/>
    <cellStyle name="Comma 15 5 5" xfId="447" xr:uid="{07C7D031-51F0-4A4E-BFE0-712F689E2912}"/>
    <cellStyle name="Comma 15 5 50" xfId="448" xr:uid="{3BA7EF27-C01A-4EAF-8CCB-740BB1E2756D}"/>
    <cellStyle name="Comma 15 5 51" xfId="449" xr:uid="{CB6E51FD-0F25-45D2-A8FA-F90392842BB2}"/>
    <cellStyle name="Comma 15 5 52" xfId="450" xr:uid="{C12118F6-9344-4DFF-8E58-0FE3281E57EB}"/>
    <cellStyle name="Comma 15 5 53" xfId="451" xr:uid="{670563C7-B7BB-424F-BB5D-FBF9C6F4E0B6}"/>
    <cellStyle name="Comma 15 5 54" xfId="452" xr:uid="{2EE79499-1497-448B-B46B-11E62303D095}"/>
    <cellStyle name="Comma 15 5 55" xfId="453" xr:uid="{19F96D81-B42D-4BBB-8A71-CCB4CF4F8700}"/>
    <cellStyle name="Comma 15 5 56" xfId="454" xr:uid="{32A46059-906F-4DCF-BB3D-F2F85903360E}"/>
    <cellStyle name="Comma 15 5 57" xfId="455" xr:uid="{7E0EBFFC-6D69-43F6-98D5-001A2A1B7125}"/>
    <cellStyle name="Comma 15 5 58" xfId="456" xr:uid="{D03BC5D7-5346-4E14-A2E4-420877131501}"/>
    <cellStyle name="Comma 15 5 59" xfId="457" xr:uid="{FB41CD59-BC32-49EE-991C-69D197E05CF0}"/>
    <cellStyle name="Comma 15 5 6" xfId="458" xr:uid="{EBB0066A-05B2-445A-96D5-66530624F4E3}"/>
    <cellStyle name="Comma 15 5 60" xfId="459" xr:uid="{16D0CE4C-3697-4FFD-AFF2-4E37DF182D42}"/>
    <cellStyle name="Comma 15 5 61" xfId="460" xr:uid="{F7463C31-DB5C-487E-B59E-B8D7827935D6}"/>
    <cellStyle name="Comma 15 5 62" xfId="461" xr:uid="{E9153FB8-8AE7-452D-BE33-9552CB68D0DD}"/>
    <cellStyle name="Comma 15 5 63" xfId="462" xr:uid="{01903C85-F572-470A-939E-4A7AC1C25EEF}"/>
    <cellStyle name="Comma 15 5 64" xfId="463" xr:uid="{4647F4ED-97D7-4C0C-875D-CD9160A6EAC2}"/>
    <cellStyle name="Comma 15 5 65" xfId="464" xr:uid="{5B60E026-F188-46CD-ADCF-F8F77FDA9C13}"/>
    <cellStyle name="Comma 15 5 66" xfId="465" xr:uid="{9FBB5C71-BB0F-4B35-849B-86F3F34C19B2}"/>
    <cellStyle name="Comma 15 5 67" xfId="466" xr:uid="{DA899BB9-37FE-4771-83F7-7B668DA96E58}"/>
    <cellStyle name="Comma 15 5 68" xfId="467" xr:uid="{DDD65693-5C21-4CF7-BC86-73686ADB336F}"/>
    <cellStyle name="Comma 15 5 69" xfId="468" xr:uid="{0D19B5EE-3D63-435A-89C3-7C9EBB563073}"/>
    <cellStyle name="Comma 15 5 7" xfId="469" xr:uid="{932D6D5D-1D1D-4737-9109-0B58B83B6369}"/>
    <cellStyle name="Comma 15 5 70" xfId="470" xr:uid="{804BEFE2-EB56-437D-BB39-CCE73F4DA432}"/>
    <cellStyle name="Comma 15 5 71" xfId="471" xr:uid="{780D3E55-8661-4EDE-940F-A0097502513F}"/>
    <cellStyle name="Comma 15 5 8" xfId="472" xr:uid="{DEE0B6DA-2448-46CF-AA3F-761C9C39FCF5}"/>
    <cellStyle name="Comma 15 5 9" xfId="473" xr:uid="{F557CFA5-4A83-484E-8B3B-F5AA1FE767E4}"/>
    <cellStyle name="Comma 15 50" xfId="474" xr:uid="{B24E332F-08FE-438D-9D00-2B2B273D0F7F}"/>
    <cellStyle name="Comma 15 51" xfId="475" xr:uid="{333E8B2D-FEE1-419F-852E-9F28F65A5688}"/>
    <cellStyle name="Comma 15 52" xfId="476" xr:uid="{ABF1AD5F-BA15-4450-A36E-80E99E9D8FAD}"/>
    <cellStyle name="Comma 15 53" xfId="477" xr:uid="{C7756DBB-2585-4C0A-817C-72A14EF4A4EB}"/>
    <cellStyle name="Comma 15 54" xfId="478" xr:uid="{EEC21E72-AD3C-4904-BED2-ED29136565CE}"/>
    <cellStyle name="Comma 15 55" xfId="479" xr:uid="{C3E348B8-21E0-40E8-90B3-38F642D9F8A6}"/>
    <cellStyle name="Comma 15 56" xfId="480" xr:uid="{68507D4D-9BA1-4C12-B007-F4C44EB8ABB9}"/>
    <cellStyle name="Comma 15 57" xfId="481" xr:uid="{FD2F1AAA-21DE-40DF-A022-73D115EDCCF2}"/>
    <cellStyle name="Comma 15 58" xfId="482" xr:uid="{41089A41-6087-4A66-A88F-3264716EA4EA}"/>
    <cellStyle name="Comma 15 59" xfId="483" xr:uid="{52163453-8723-4457-A89A-94DF6D4C005E}"/>
    <cellStyle name="Comma 15 6" xfId="484" xr:uid="{047BDFC0-CC94-4FCE-A8C0-FFA39A73F65C}"/>
    <cellStyle name="Comma 15 60" xfId="485" xr:uid="{5167D55C-219A-4FF3-B728-273DA7D8F818}"/>
    <cellStyle name="Comma 15 60 2" xfId="486" xr:uid="{4ECD6B46-8DD6-4905-91C0-6507BDAB1BDD}"/>
    <cellStyle name="Comma 15 60 3" xfId="487" xr:uid="{563F6BB1-429C-4B00-B6A2-72492E12C734}"/>
    <cellStyle name="Comma 15 60 3 2" xfId="488" xr:uid="{E659D685-D93F-4ED5-8ACA-4CDE95689FA1}"/>
    <cellStyle name="Comma 15 61" xfId="489" xr:uid="{203C6452-40AC-4AE1-9408-801F790FDD5A}"/>
    <cellStyle name="Comma 15 62" xfId="490" xr:uid="{CE77B867-5803-4CC9-A197-16E07870FC69}"/>
    <cellStyle name="Comma 15 63" xfId="491" xr:uid="{4FE44013-DD07-4001-9C9D-27DBD7CF876A}"/>
    <cellStyle name="Comma 15 64" xfId="492" xr:uid="{050A9627-23EB-4497-9948-9FA22E5B392E}"/>
    <cellStyle name="Comma 15 65" xfId="493" xr:uid="{7E3603A3-1259-41EF-AF56-443F4C8CDF57}"/>
    <cellStyle name="Comma 15 66" xfId="494" xr:uid="{40396737-196C-4641-A08D-869B62A8F848}"/>
    <cellStyle name="Comma 15 67" xfId="495" xr:uid="{F6115AAD-17AF-4620-8DC8-011348784662}"/>
    <cellStyle name="Comma 15 68" xfId="496" xr:uid="{91459448-5BF4-4BFF-A42D-631978285133}"/>
    <cellStyle name="Comma 15 69" xfId="497" xr:uid="{4174847C-E44B-4995-9ED4-F24EBE5F77E2}"/>
    <cellStyle name="Comma 15 7" xfId="498" xr:uid="{8AFF3946-138D-4EA6-BAAE-940A50FF408F}"/>
    <cellStyle name="Comma 15 70" xfId="499" xr:uid="{B5A4F595-63BF-4333-8BA1-BF12561EC2F2}"/>
    <cellStyle name="Comma 15 71" xfId="500" xr:uid="{33036906-4E1E-47EA-BA63-C85E55366419}"/>
    <cellStyle name="Comma 15 72" xfId="501" xr:uid="{13EF6A22-3D54-4E7E-8121-2E631A192232}"/>
    <cellStyle name="Comma 15 73" xfId="502" xr:uid="{EFCA2028-7C9F-4CED-A238-821B0DD5ABAE}"/>
    <cellStyle name="Comma 15 74" xfId="503" xr:uid="{13E6A4AC-6308-4792-B93B-3D88F8906C80}"/>
    <cellStyle name="Comma 15 8" xfId="504" xr:uid="{C86AACFB-FC8A-4B5D-9211-35218BAC448D}"/>
    <cellStyle name="Comma 15 9" xfId="505" xr:uid="{8A3806C3-1655-4E23-943A-D20649FDD4F7}"/>
    <cellStyle name="Comma 16" xfId="506" xr:uid="{0E341A29-6861-4468-9BD8-19B0877532DF}"/>
    <cellStyle name="Comma 17" xfId="507" xr:uid="{59C6F4B4-DB74-4CAA-BD59-F7EE1E282766}"/>
    <cellStyle name="Comma 18" xfId="508" xr:uid="{B07D9C12-51E9-4F48-8BD4-8ADC522640BB}"/>
    <cellStyle name="Comma 19" xfId="509" xr:uid="{D1FC3B62-47FC-4743-8E5D-D30989726632}"/>
    <cellStyle name="Comma 2" xfId="27" xr:uid="{00000000-0005-0000-0000-000003000000}"/>
    <cellStyle name="Comma 2 2" xfId="72" xr:uid="{8DB67A8A-99EC-4365-81AF-8AF0351B9D64}"/>
    <cellStyle name="Comma 2 2 2" xfId="511" xr:uid="{9457CD43-0475-4C3C-A3C9-99FB7CC2C36F}"/>
    <cellStyle name="Comma 2 3" xfId="512" xr:uid="{FD6B744D-7C77-4675-B3BE-69A0537293E1}"/>
    <cellStyle name="Comma 2 4" xfId="513" xr:uid="{C28FFD14-7A34-4DAE-8F18-3B7A022E4441}"/>
    <cellStyle name="Comma 2 5" xfId="510" xr:uid="{C4FAA8BC-90F0-492A-931D-8CE15AD5E317}"/>
    <cellStyle name="Comma 20" xfId="514" xr:uid="{7E641418-6A99-4560-A519-01B97C9C4FBB}"/>
    <cellStyle name="Comma 21" xfId="515" xr:uid="{70FCE289-25B3-4716-9C6A-BF1ADF3ED526}"/>
    <cellStyle name="Comma 22" xfId="516" xr:uid="{9736CCF7-B559-44E5-9199-50FB13C24BD2}"/>
    <cellStyle name="Comma 23" xfId="517" xr:uid="{081CF835-810D-44A3-92B7-B662706D3694}"/>
    <cellStyle name="Comma 24" xfId="518" xr:uid="{F35D2C8F-2065-4A23-94B0-3C71D8B7D91B}"/>
    <cellStyle name="Comma 25" xfId="519" xr:uid="{1EA97764-F9BC-4D4C-B858-178CA67B0501}"/>
    <cellStyle name="Comma 26" xfId="520" xr:uid="{844BBB0B-6369-46B6-88E2-2BF342A95BE5}"/>
    <cellStyle name="Comma 27" xfId="521" xr:uid="{E0DA879B-83CA-467D-B3D0-8BA21CC01F81}"/>
    <cellStyle name="Comma 28" xfId="522" xr:uid="{D77613AE-8112-4F9C-8A4B-D62B86A22DE6}"/>
    <cellStyle name="Comma 280" xfId="28" xr:uid="{00000000-0005-0000-0000-000004000000}"/>
    <cellStyle name="Comma 29" xfId="523" xr:uid="{F0D2D629-2F78-45CD-90EB-1353D4B043F3}"/>
    <cellStyle name="Comma 3" xfId="29" xr:uid="{00000000-0005-0000-0000-000005000000}"/>
    <cellStyle name="Comma 3 10" xfId="524" xr:uid="{0A06C55C-B292-407A-920C-264976707404}"/>
    <cellStyle name="Comma 3 11" xfId="525" xr:uid="{63B2C070-B5B6-4275-8966-C272CADE4BC6}"/>
    <cellStyle name="Comma 3 12" xfId="526" xr:uid="{135C2D7F-6B40-4529-B203-C9090640975E}"/>
    <cellStyle name="Comma 3 13" xfId="527" xr:uid="{DAB1ED12-2928-4501-97AF-72077F44D1D3}"/>
    <cellStyle name="Comma 3 14" xfId="528" xr:uid="{9C75533A-B842-43E4-B572-46A8C7675146}"/>
    <cellStyle name="Comma 3 15" xfId="529" xr:uid="{DE7449C7-2FEC-4E06-9387-C6E58FED589D}"/>
    <cellStyle name="Comma 3 16" xfId="530" xr:uid="{2894C15A-72FC-4797-A2A3-184CD4748910}"/>
    <cellStyle name="Comma 3 17" xfId="531" xr:uid="{4CFD699C-889C-455C-8DEE-35812E823EFE}"/>
    <cellStyle name="Comma 3 18" xfId="532" xr:uid="{E8160B9A-DA98-4704-A14F-5091269011B8}"/>
    <cellStyle name="Comma 3 19" xfId="533" xr:uid="{3D1DB600-60A8-45D4-9EBC-0828A6DD506D}"/>
    <cellStyle name="Comma 3 2" xfId="534" xr:uid="{49B09AE2-B30C-43EA-BBCE-10CDE4139F49}"/>
    <cellStyle name="Comma 3 20" xfId="535" xr:uid="{80551070-711B-42F1-AF25-30DFBFD59666}"/>
    <cellStyle name="Comma 3 21" xfId="536" xr:uid="{BC98B5C9-7810-4920-B272-246C7E38CB18}"/>
    <cellStyle name="Comma 3 22" xfId="537" xr:uid="{39A9282E-4233-4307-BC66-54D1FD0F820D}"/>
    <cellStyle name="Comma 3 23" xfId="538" xr:uid="{73909EE0-340D-44F9-B20F-D46D9632A969}"/>
    <cellStyle name="Comma 3 24" xfId="539" xr:uid="{BD62BC15-58A0-4FEC-8E7E-4F7B08F41D32}"/>
    <cellStyle name="Comma 3 25" xfId="540" xr:uid="{4F387137-C64E-4F17-AA91-1293863962D8}"/>
    <cellStyle name="Comma 3 26" xfId="541" xr:uid="{502BDE63-9648-4C85-B8AC-D99CD243BEFC}"/>
    <cellStyle name="Comma 3 27" xfId="542" xr:uid="{A613E510-E4C3-4A12-B835-7BABD2B79DF5}"/>
    <cellStyle name="Comma 3 28" xfId="543" xr:uid="{EA420FF7-6BB3-4D76-89A9-87618951215C}"/>
    <cellStyle name="Comma 3 29" xfId="544" xr:uid="{EC7194AB-6511-4221-BA21-32BF266C9BD3}"/>
    <cellStyle name="Comma 3 3" xfId="545" xr:uid="{C4BA4BBB-22F1-45AE-92A8-2B190BC839E6}"/>
    <cellStyle name="Comma 3 30" xfId="546" xr:uid="{26606772-4CE4-4D5A-AD26-0CABACB807F0}"/>
    <cellStyle name="Comma 3 31" xfId="547" xr:uid="{F09FB40E-7F32-4B4D-B9D5-E185459E7C7F}"/>
    <cellStyle name="Comma 3 32" xfId="548" xr:uid="{DAE8F999-60C9-45CC-82F8-ACF33EC43385}"/>
    <cellStyle name="Comma 3 33" xfId="549" xr:uid="{F1009726-AB32-481A-8E63-C636F0C5AFF4}"/>
    <cellStyle name="Comma 3 34" xfId="550" xr:uid="{A962B493-555E-4C0B-A1A6-D05F93868F40}"/>
    <cellStyle name="Comma 3 35" xfId="551" xr:uid="{D8A8A1EB-5B5E-4AA3-BABE-25E9A5FAB966}"/>
    <cellStyle name="Comma 3 36" xfId="552" xr:uid="{22C51DDE-15B0-4BDF-867C-F50561917952}"/>
    <cellStyle name="Comma 3 37" xfId="553" xr:uid="{E5F555F1-ECDD-4D45-9927-0BF844FF2D89}"/>
    <cellStyle name="Comma 3 38" xfId="554" xr:uid="{DBEE1840-F3C0-465E-9E3A-DCD0E2EACF75}"/>
    <cellStyle name="Comma 3 39" xfId="555" xr:uid="{5B20B8F7-3269-48B7-BCC4-E4B5B025E3E4}"/>
    <cellStyle name="Comma 3 4" xfId="556" xr:uid="{1FF341A4-4AAE-4B06-BEF7-189505DC3BC1}"/>
    <cellStyle name="Comma 3 40" xfId="557" xr:uid="{04E92E0E-D0A8-4218-B315-EA80699BC0BC}"/>
    <cellStyle name="Comma 3 41" xfId="558" xr:uid="{1872BB36-6BEC-49E7-8496-ADFE565565D4}"/>
    <cellStyle name="Comma 3 42" xfId="559" xr:uid="{D65CFA7E-8F4F-419B-9C95-A574A59CF177}"/>
    <cellStyle name="Comma 3 43" xfId="560" xr:uid="{5ACFE728-4186-407E-899B-5BD1693424C3}"/>
    <cellStyle name="Comma 3 44" xfId="561" xr:uid="{80C4F2C5-D5F8-42D9-850C-06D856E16100}"/>
    <cellStyle name="Comma 3 45" xfId="562" xr:uid="{4DA4AB02-3915-4ED5-8318-45615418EE06}"/>
    <cellStyle name="Comma 3 46" xfId="563" xr:uid="{EE416469-6C86-4C90-9342-1CC8086EB237}"/>
    <cellStyle name="Comma 3 47" xfId="564" xr:uid="{87B3B25E-74EC-4C27-8FA9-983733004E77}"/>
    <cellStyle name="Comma 3 48" xfId="565" xr:uid="{F41E70AB-59DF-4CF0-AF60-514A42350C9A}"/>
    <cellStyle name="Comma 3 49" xfId="566" xr:uid="{D304E529-F2DC-4895-9353-68471BB7DBE3}"/>
    <cellStyle name="Comma 3 5" xfId="567" xr:uid="{4BC7F8A1-D44E-4E3F-8723-63C8CA082169}"/>
    <cellStyle name="Comma 3 50" xfId="568" xr:uid="{18BDD36D-C850-46DB-B085-65BE757A172F}"/>
    <cellStyle name="Comma 3 51" xfId="569" xr:uid="{B6CC4274-37BE-441A-861A-9B0972CC0E62}"/>
    <cellStyle name="Comma 3 52" xfId="570" xr:uid="{B2B91CE2-D476-4AD7-9FB2-B8ED748C4279}"/>
    <cellStyle name="Comma 3 53" xfId="571" xr:uid="{66DC51D3-CFB5-401D-9A7B-8993FD61A6EF}"/>
    <cellStyle name="Comma 3 54" xfId="572" xr:uid="{8C47C748-97DF-4D02-AF8E-0EDAFB91CF02}"/>
    <cellStyle name="Comma 3 55" xfId="573" xr:uid="{9948481F-3954-4070-AA00-3F06004F6F96}"/>
    <cellStyle name="Comma 3 56" xfId="574" xr:uid="{97B21A32-2D04-401C-90D2-21172FEA7DDD}"/>
    <cellStyle name="Comma 3 57" xfId="575" xr:uid="{C4A13F50-FCFC-4C85-A1F5-BACFB7D7D3E6}"/>
    <cellStyle name="Comma 3 58" xfId="576" xr:uid="{25A29AC4-BA8C-4775-9803-610A94FDC1B8}"/>
    <cellStyle name="Comma 3 59" xfId="577" xr:uid="{53E136DA-2D8B-4459-A085-13AB356CF069}"/>
    <cellStyle name="Comma 3 6" xfId="578" xr:uid="{F3166D99-04B1-4C6A-A9ED-F893423C69A6}"/>
    <cellStyle name="Comma 3 60" xfId="579" xr:uid="{E83C7990-CFCA-41A2-8755-AA9666B36B50}"/>
    <cellStyle name="Comma 3 61" xfId="580" xr:uid="{70E31268-1B81-422C-96D9-D232FBFE4E07}"/>
    <cellStyle name="Comma 3 62" xfId="581" xr:uid="{B3CCC42B-8321-4856-B971-3D0E8FB6F74E}"/>
    <cellStyle name="Comma 3 63" xfId="582" xr:uid="{59B55875-5ECA-4F17-A567-BD4D28D0A72D}"/>
    <cellStyle name="Comma 3 64" xfId="583" xr:uid="{3E906418-8E7D-492F-ABE3-3F20FE9389FB}"/>
    <cellStyle name="Comma 3 7" xfId="584" xr:uid="{43B9BD05-C354-4DC5-9CD4-B59C42568553}"/>
    <cellStyle name="Comma 3 8" xfId="585" xr:uid="{751DFFD4-DB37-4F72-9C6F-9C68F10227A7}"/>
    <cellStyle name="Comma 3 9" xfId="586" xr:uid="{25F379CD-6524-4B46-B42A-A8DB58E9A0FE}"/>
    <cellStyle name="Comma 30" xfId="587" xr:uid="{D4AAC198-2350-41C9-9B3D-DBD71EB51A1A}"/>
    <cellStyle name="Comma 31" xfId="588" xr:uid="{732D1839-6C6F-46AE-85EC-4BBDB276553E}"/>
    <cellStyle name="Comma 32" xfId="589" xr:uid="{7F66F131-94FB-4B51-B61F-4382A0611A4A}"/>
    <cellStyle name="Comma 33" xfId="590" xr:uid="{CD31405E-6CED-4D75-80B4-0D39C1C5E93E}"/>
    <cellStyle name="Comma 34" xfId="591" xr:uid="{96432FDC-B9A5-4790-B043-A22B204A464A}"/>
    <cellStyle name="Comma 35" xfId="592" xr:uid="{727D1A5B-8D01-426C-AF65-1AAF2965F7DA}"/>
    <cellStyle name="Comma 36" xfId="2804" xr:uid="{A7EBCB9C-8766-4211-B146-D0AD0BC6385F}"/>
    <cellStyle name="Comma 37" xfId="76" xr:uid="{8D7D1330-7771-41B3-A875-3147A7AA199D}"/>
    <cellStyle name="Comma 38" xfId="2810" xr:uid="{D71A6429-FC78-40DB-A546-FA99FCEAF91D}"/>
    <cellStyle name="Comma 39" xfId="2829" xr:uid="{1F9A2A99-9A21-44E0-A88E-A053CA1617E5}"/>
    <cellStyle name="Comma 4" xfId="593" xr:uid="{83BD3CE7-2F1B-4DBD-B59F-869D5F843F94}"/>
    <cellStyle name="Comma 4 10" xfId="594" xr:uid="{20DCB005-6345-4691-A32D-5AACFBEF7570}"/>
    <cellStyle name="Comma 4 11" xfId="595" xr:uid="{BDF58E65-9E55-42ED-9130-DC9571295DF4}"/>
    <cellStyle name="Comma 4 12" xfId="596" xr:uid="{113C08A7-A485-4200-A5F7-D6F0A3BBD05B}"/>
    <cellStyle name="Comma 4 13" xfId="597" xr:uid="{0B06348F-3E90-4288-8230-580258DC699E}"/>
    <cellStyle name="Comma 4 14" xfId="598" xr:uid="{0446FB59-C5A2-4EAB-AF44-95889C6A32AC}"/>
    <cellStyle name="Comma 4 15" xfId="599" xr:uid="{A0DBD758-EA91-4589-8CF5-28456D013671}"/>
    <cellStyle name="Comma 4 16" xfId="600" xr:uid="{79D81370-50FF-4366-936A-86E9E295CB54}"/>
    <cellStyle name="Comma 4 17" xfId="601" xr:uid="{9470976A-AFFA-4CE4-9A8D-1CBD24CAA5A5}"/>
    <cellStyle name="Comma 4 18" xfId="602" xr:uid="{AEB565C0-8A5C-41B3-B9FE-2C6FD371AE8D}"/>
    <cellStyle name="Comma 4 19" xfId="603" xr:uid="{866603DD-AE83-439F-ADE2-D9EC32BBBD10}"/>
    <cellStyle name="Comma 4 2" xfId="604" xr:uid="{16827578-375B-4393-8ACB-7890EAD288B2}"/>
    <cellStyle name="Comma 4 20" xfId="605" xr:uid="{62DD5639-526A-4D48-9A45-6640FDD82876}"/>
    <cellStyle name="Comma 4 21" xfId="606" xr:uid="{5AD575D8-24B2-4A2C-A68C-B49D6DEFA253}"/>
    <cellStyle name="Comma 4 22" xfId="607" xr:uid="{49FE6CA4-76CA-48FA-874E-3FAF8638784D}"/>
    <cellStyle name="Comma 4 23" xfId="608" xr:uid="{910D13EA-EF25-456C-9DB2-B94CEA1DA058}"/>
    <cellStyle name="Comma 4 24" xfId="609" xr:uid="{8B5457A2-A3C7-43B6-BD8D-F41A7E715622}"/>
    <cellStyle name="Comma 4 25" xfId="610" xr:uid="{648C30D0-2BA4-42AC-99B4-9A578D537F76}"/>
    <cellStyle name="Comma 4 26" xfId="611" xr:uid="{87D76B93-5F72-4881-B5A2-CCE93DE15D05}"/>
    <cellStyle name="Comma 4 27" xfId="612" xr:uid="{DEFABAE7-D88E-4462-9FBC-65B4A9E61D15}"/>
    <cellStyle name="Comma 4 28" xfId="613" xr:uid="{07389195-CEF8-4AFB-BC72-F77780F86D9C}"/>
    <cellStyle name="Comma 4 29" xfId="614" xr:uid="{DC38B0AE-66B7-4E6A-BB0F-71432DDFDD1E}"/>
    <cellStyle name="Comma 4 3" xfId="615" xr:uid="{84A9F9DF-EA24-4C2F-A133-8BDBF0918068}"/>
    <cellStyle name="Comma 4 30" xfId="616" xr:uid="{26D7D0F9-2EE4-4411-819E-71F3CD18881D}"/>
    <cellStyle name="Comma 4 31" xfId="617" xr:uid="{92953C16-57F4-4669-94D8-103F5FE6CBC4}"/>
    <cellStyle name="Comma 4 32" xfId="618" xr:uid="{4C50B6E2-646F-4FB7-8561-7AD2673F511D}"/>
    <cellStyle name="Comma 4 33" xfId="619" xr:uid="{903D89BB-1399-434A-91C9-38B5165BD6B6}"/>
    <cellStyle name="Comma 4 34" xfId="620" xr:uid="{144633AE-0036-4E73-A482-99E244736FC0}"/>
    <cellStyle name="Comma 4 35" xfId="621" xr:uid="{D77AF9FE-B303-4F6D-88BE-081CB86BA795}"/>
    <cellStyle name="Comma 4 36" xfId="622" xr:uid="{893314D2-1EC9-4906-ACB9-04440DB2017B}"/>
    <cellStyle name="Comma 4 37" xfId="623" xr:uid="{E528FBCC-A7FC-44B3-9992-FE544DE94AC2}"/>
    <cellStyle name="Comma 4 38" xfId="624" xr:uid="{E2DFB831-D120-496C-BEBB-EAEF4AFCB9B3}"/>
    <cellStyle name="Comma 4 39" xfId="625" xr:uid="{15626B20-7F56-480D-A896-C5174A11E561}"/>
    <cellStyle name="Comma 4 4" xfId="626" xr:uid="{86C47E49-E15B-4C3C-98FD-E69EDB39ECB3}"/>
    <cellStyle name="Comma 4 40" xfId="627" xr:uid="{E2FA1CC3-5B06-4EFD-A32F-1D13D3B896E4}"/>
    <cellStyle name="Comma 4 41" xfId="628" xr:uid="{EE637CDD-F390-41CB-915C-E8958009EC22}"/>
    <cellStyle name="Comma 4 42" xfId="629" xr:uid="{255FC84D-5383-4956-B0ED-E91071AD52FB}"/>
    <cellStyle name="Comma 4 43" xfId="630" xr:uid="{5428998E-8614-47BE-A20A-D995A7F84AC3}"/>
    <cellStyle name="Comma 4 44" xfId="631" xr:uid="{B3D88A10-66DE-49B0-8B7D-AC14FB39BF17}"/>
    <cellStyle name="Comma 4 45" xfId="632" xr:uid="{18A626FB-E9B9-4BE0-97B1-68C388C06DE7}"/>
    <cellStyle name="Comma 4 46" xfId="633" xr:uid="{CA3A822B-A0FE-496A-A4A6-DC6D9564FA3C}"/>
    <cellStyle name="Comma 4 47" xfId="634" xr:uid="{CEE7F7E9-E005-4D1E-9BD3-9ADA349CE041}"/>
    <cellStyle name="Comma 4 48" xfId="635" xr:uid="{DB56AF3B-3546-4051-B689-D1A73211E8B1}"/>
    <cellStyle name="Comma 4 49" xfId="636" xr:uid="{E961A5F3-E187-489D-9103-74BEA6F50319}"/>
    <cellStyle name="Comma 4 5" xfId="637" xr:uid="{F5200D6D-77A0-46F0-976A-0A3D0D87CA2D}"/>
    <cellStyle name="Comma 4 50" xfId="638" xr:uid="{FC4661F7-3C5A-409A-AE1F-30E1C9176F22}"/>
    <cellStyle name="Comma 4 51" xfId="639" xr:uid="{51FC8633-D969-40DA-BDDD-0B79BA9B75A9}"/>
    <cellStyle name="Comma 4 52" xfId="640" xr:uid="{EF7DFC88-5283-4C7A-A242-2C31F455D7EB}"/>
    <cellStyle name="Comma 4 53" xfId="641" xr:uid="{6875FFF9-B988-4018-9882-55235945E354}"/>
    <cellStyle name="Comma 4 54" xfId="642" xr:uid="{BE94CD0E-1030-4C81-9391-3A0F8C35EFB8}"/>
    <cellStyle name="Comma 4 55" xfId="643" xr:uid="{A7E1F7EA-4274-4911-B85E-9F07072DC373}"/>
    <cellStyle name="Comma 4 56" xfId="644" xr:uid="{CECC88BC-AD97-494E-A966-9471E17D31BC}"/>
    <cellStyle name="Comma 4 57" xfId="645" xr:uid="{C52C29DD-8B48-4444-93D1-2DC576102193}"/>
    <cellStyle name="Comma 4 58" xfId="646" xr:uid="{F16835E0-8010-4D55-8E0E-B238E06ECFE0}"/>
    <cellStyle name="Comma 4 59" xfId="647" xr:uid="{739D9BE2-9121-4179-9B47-4DBD7BFBF8A7}"/>
    <cellStyle name="Comma 4 6" xfId="648" xr:uid="{2A13148A-9453-44E8-BD5B-76A5C681533A}"/>
    <cellStyle name="Comma 4 60" xfId="649" xr:uid="{F1C2051B-D7D8-4C04-B8B8-A9A6404FF246}"/>
    <cellStyle name="Comma 4 61" xfId="650" xr:uid="{A90ED473-08E3-49FD-B765-15D033FECC91}"/>
    <cellStyle name="Comma 4 62" xfId="651" xr:uid="{DC4DBEDA-DC09-4418-84B9-7D8996ECC71F}"/>
    <cellStyle name="Comma 4 63" xfId="652" xr:uid="{AB61BC2D-E043-4DCF-8815-12571E79E822}"/>
    <cellStyle name="Comma 4 7" xfId="653" xr:uid="{0FC57261-61F0-4D3B-B6FF-514A42B91A25}"/>
    <cellStyle name="Comma 4 8" xfId="654" xr:uid="{19008B2E-B71F-4587-8661-63F46C9666CB}"/>
    <cellStyle name="Comma 4 9" xfId="655" xr:uid="{65C78F75-D821-4C5C-8076-EEB588ECC737}"/>
    <cellStyle name="Comma 5" xfId="656" xr:uid="{D63E119F-F24D-4B93-94DC-F0EE24826014}"/>
    <cellStyle name="Comma 5 10" xfId="657" xr:uid="{D635BED5-ADDF-4E5A-889F-4DA679162CAA}"/>
    <cellStyle name="Comma 5 11" xfId="658" xr:uid="{83BBF4B7-2D86-48B0-9211-D11143D277B3}"/>
    <cellStyle name="Comma 5 12" xfId="659" xr:uid="{2BE6CEB3-A870-4AF8-B72B-439171F63214}"/>
    <cellStyle name="Comma 5 13" xfId="660" xr:uid="{5E01049B-2512-4CDB-8652-20B2E0318A62}"/>
    <cellStyle name="Comma 5 14" xfId="661" xr:uid="{50127DDB-5098-4435-AF79-A1CDC4430DD9}"/>
    <cellStyle name="Comma 5 15" xfId="662" xr:uid="{E7A8C5D8-1BA9-48CD-9F7A-BFF97F4D7C4F}"/>
    <cellStyle name="Comma 5 16" xfId="663" xr:uid="{93DF9354-3585-42A4-9841-CE9DAACB01B5}"/>
    <cellStyle name="Comma 5 17" xfId="664" xr:uid="{9289CE46-64C9-4F11-9A12-2DEDC872E553}"/>
    <cellStyle name="Comma 5 18" xfId="665" xr:uid="{FC0A92D6-6EEB-4308-A822-E83253FE738E}"/>
    <cellStyle name="Comma 5 19" xfId="666" xr:uid="{D2D8BFFC-E192-4A4F-8243-BCCFAADDF1FD}"/>
    <cellStyle name="Comma 5 2" xfId="667" xr:uid="{4A340997-F7E7-4801-AE3B-DF4619768874}"/>
    <cellStyle name="Comma 5 20" xfId="668" xr:uid="{0797210A-4CC4-45C6-93E2-79696D5F5959}"/>
    <cellStyle name="Comma 5 21" xfId="669" xr:uid="{C376A0B3-F735-4A57-92A0-005A5F4EDB9A}"/>
    <cellStyle name="Comma 5 22" xfId="670" xr:uid="{8B9E9479-9A2C-4A9C-AF05-CB6D2F9C9094}"/>
    <cellStyle name="Comma 5 23" xfId="671" xr:uid="{9AAFA6EC-21D2-4467-AAEB-A4C5F6598376}"/>
    <cellStyle name="Comma 5 24" xfId="672" xr:uid="{782EBE9E-BDC6-49F6-BB2E-553BF55F9E2F}"/>
    <cellStyle name="Comma 5 25" xfId="673" xr:uid="{68FB5615-41CB-42B5-BB3C-340703629E62}"/>
    <cellStyle name="Comma 5 26" xfId="674" xr:uid="{391D6E9F-6007-4DD5-BC1A-2AC1E849740B}"/>
    <cellStyle name="Comma 5 27" xfId="675" xr:uid="{26FD174E-06D0-45BD-9A80-BC3FC85BBE90}"/>
    <cellStyle name="Comma 5 28" xfId="676" xr:uid="{150AE8C6-B8BF-4B4D-9646-572771E9467A}"/>
    <cellStyle name="Comma 5 29" xfId="677" xr:uid="{F527D89C-C182-40CC-8B40-0341941F3229}"/>
    <cellStyle name="Comma 5 3" xfId="678" xr:uid="{DD28DB4B-A56A-4824-968D-392E7371511B}"/>
    <cellStyle name="Comma 5 30" xfId="679" xr:uid="{84CAE988-16D9-4640-A589-8E27AFBBB89B}"/>
    <cellStyle name="Comma 5 31" xfId="680" xr:uid="{5335D022-3905-46E3-853E-3356B269BDAF}"/>
    <cellStyle name="Comma 5 32" xfId="681" xr:uid="{C94FF8AF-7C23-4CB1-B768-B862FA6BE4DD}"/>
    <cellStyle name="Comma 5 33" xfId="682" xr:uid="{8C47BA9C-EFF3-4609-9BD3-594E1303159C}"/>
    <cellStyle name="Comma 5 34" xfId="683" xr:uid="{7D19A989-5761-470C-B3E3-8855F3553493}"/>
    <cellStyle name="Comma 5 35" xfId="684" xr:uid="{0DB09E6E-AAC3-4D98-8E15-C5E71DD63545}"/>
    <cellStyle name="Comma 5 36" xfId="685" xr:uid="{CAC2A846-A4EF-4BAD-AE7D-CBC6050DC1A6}"/>
    <cellStyle name="Comma 5 37" xfId="686" xr:uid="{22C851E2-9BFB-41D3-88A0-BF4AC31419E9}"/>
    <cellStyle name="Comma 5 38" xfId="687" xr:uid="{A32F88A1-213F-42CD-A678-8F721C82BE14}"/>
    <cellStyle name="Comma 5 39" xfId="688" xr:uid="{9EB04026-AB0B-456A-8C02-8F982ED4AC80}"/>
    <cellStyle name="Comma 5 4" xfId="689" xr:uid="{92D3F5EB-1CAD-4715-A2D4-98EBE5E52DB5}"/>
    <cellStyle name="Comma 5 40" xfId="690" xr:uid="{10F33E43-8367-4CB4-8928-359CE2FBE41B}"/>
    <cellStyle name="Comma 5 41" xfId="691" xr:uid="{F0CF1C54-A924-4AA9-B629-D02F0B862A41}"/>
    <cellStyle name="Comma 5 42" xfId="692" xr:uid="{C8EFAF3D-A8DD-4ACC-BDCB-C7776332249C}"/>
    <cellStyle name="Comma 5 43" xfId="693" xr:uid="{C727981F-FED8-4849-8A77-2CD7DCDAC920}"/>
    <cellStyle name="Comma 5 44" xfId="694" xr:uid="{26EA98FE-0A96-46E6-81BE-B1C3DF4B9B99}"/>
    <cellStyle name="Comma 5 45" xfId="695" xr:uid="{DC8A43D3-3B06-4D58-9A94-017C468667A3}"/>
    <cellStyle name="Comma 5 46" xfId="696" xr:uid="{4CCF2A51-97E5-4B06-90AB-039DE0B7F3E3}"/>
    <cellStyle name="Comma 5 47" xfId="697" xr:uid="{B8500F3B-5DDA-406B-9ED9-1B74235FC859}"/>
    <cellStyle name="Comma 5 48" xfId="698" xr:uid="{DF5509B7-1CE5-478F-B72E-9944B8D5E188}"/>
    <cellStyle name="Comma 5 49" xfId="699" xr:uid="{FE889629-112D-488A-A03E-01643489212E}"/>
    <cellStyle name="Comma 5 5" xfId="700" xr:uid="{D0F96E31-F83B-4113-9929-61E622DD2398}"/>
    <cellStyle name="Comma 5 50" xfId="701" xr:uid="{9C364ED6-1B5E-4448-BE92-47880C41D25F}"/>
    <cellStyle name="Comma 5 51" xfId="702" xr:uid="{7C8E49ED-53D6-4372-B9C6-D241638C315F}"/>
    <cellStyle name="Comma 5 52" xfId="703" xr:uid="{F9C63FD8-15B2-4951-BDBC-1EF2333FE0B7}"/>
    <cellStyle name="Comma 5 53" xfId="704" xr:uid="{3AAFCC67-88EF-435F-8E5F-D1400FB414DF}"/>
    <cellStyle name="Comma 5 54" xfId="705" xr:uid="{F0A452A6-1EBA-4CB8-A63C-EF422399A842}"/>
    <cellStyle name="Comma 5 55" xfId="706" xr:uid="{B1832AC8-8911-415D-8151-3EFB9DE15463}"/>
    <cellStyle name="Comma 5 56" xfId="707" xr:uid="{5B519BC2-05E7-46D4-ABE7-910284D77010}"/>
    <cellStyle name="Comma 5 57" xfId="708" xr:uid="{FABCDA17-0AEE-4429-8D80-6FA523F880A5}"/>
    <cellStyle name="Comma 5 58" xfId="709" xr:uid="{55C4CC6E-CC59-455E-8786-B605A921CFDD}"/>
    <cellStyle name="Comma 5 59" xfId="710" xr:uid="{80E53B2A-C47D-40FB-BD53-F463EABC7A4C}"/>
    <cellStyle name="Comma 5 6" xfId="711" xr:uid="{C8B9747D-3531-4179-8D91-8B0D08511B5B}"/>
    <cellStyle name="Comma 5 60" xfId="712" xr:uid="{A44180D4-AFEC-4F16-BB02-A0CD18AEB7CA}"/>
    <cellStyle name="Comma 5 61" xfId="713" xr:uid="{FC77ED4F-33A3-4814-8517-A06661C4D396}"/>
    <cellStyle name="Comma 5 62" xfId="714" xr:uid="{1ADBFE5A-08E5-4F49-A7CC-DA672B8DC9FC}"/>
    <cellStyle name="Comma 5 63" xfId="715" xr:uid="{3CA09D94-E7A3-4C0A-B2A0-E8071760C223}"/>
    <cellStyle name="Comma 5 7" xfId="716" xr:uid="{76E97BB0-4ACC-4806-AE1A-929CF869817C}"/>
    <cellStyle name="Comma 5 8" xfId="717" xr:uid="{A8C0DE32-20B0-4B73-922F-8FF182A2AA0B}"/>
    <cellStyle name="Comma 5 9" xfId="718" xr:uid="{CABC5737-517D-40C6-8CCF-A657611859B3}"/>
    <cellStyle name="Comma 6" xfId="719" xr:uid="{902A59E5-2101-4375-9D2C-17E34ED421A8}"/>
    <cellStyle name="Comma 6 10" xfId="720" xr:uid="{1D848206-E50A-4400-92CB-1A0837F01E7F}"/>
    <cellStyle name="Comma 6 11" xfId="721" xr:uid="{88CADEA3-80FA-47C4-8C31-7CC72F753AFE}"/>
    <cellStyle name="Comma 6 12" xfId="722" xr:uid="{80354CAE-87C8-4937-AF48-22452542FEB3}"/>
    <cellStyle name="Comma 6 13" xfId="723" xr:uid="{CDC4FE63-26F6-4F28-A66C-3420FE72AAE4}"/>
    <cellStyle name="Comma 6 14" xfId="724" xr:uid="{43276F9F-5A66-4DE1-8873-7869E9472C09}"/>
    <cellStyle name="Comma 6 15" xfId="725" xr:uid="{23B03333-62E6-434A-8332-8E8BEFB34361}"/>
    <cellStyle name="Comma 6 16" xfId="726" xr:uid="{9FEEEE30-6471-4450-9449-7176397C52D8}"/>
    <cellStyle name="Comma 6 17" xfId="727" xr:uid="{0D64583C-EB5E-4C0D-A106-7D866396CA59}"/>
    <cellStyle name="Comma 6 18" xfId="728" xr:uid="{5086CB40-E4BA-4440-BDF7-751753244D89}"/>
    <cellStyle name="Comma 6 19" xfId="729" xr:uid="{71069AA4-2369-4B9F-BB2C-87E5236CEEA9}"/>
    <cellStyle name="Comma 6 2" xfId="730" xr:uid="{DF6C8F28-064B-493C-839E-CC4445C80D54}"/>
    <cellStyle name="Comma 6 20" xfId="731" xr:uid="{2B76C886-CA99-402D-ACE1-BF4376EECFC6}"/>
    <cellStyle name="Comma 6 21" xfId="732" xr:uid="{4CDF4860-393D-4058-A0E9-0475BD720205}"/>
    <cellStyle name="Comma 6 22" xfId="733" xr:uid="{C1557005-E5E3-4493-9D01-3BA9B360AF3C}"/>
    <cellStyle name="Comma 6 23" xfId="734" xr:uid="{CD63C552-2597-4BBA-A045-5C77ACD51A2F}"/>
    <cellStyle name="Comma 6 24" xfId="735" xr:uid="{C3A3EBA2-FDFB-45C6-91CD-7A91B7CD4863}"/>
    <cellStyle name="Comma 6 25" xfId="736" xr:uid="{5E335988-82F1-4AA3-8B6C-AF07A09BA79A}"/>
    <cellStyle name="Comma 6 26" xfId="737" xr:uid="{76677012-86A1-4ABF-AF98-88B4D9BBD008}"/>
    <cellStyle name="Comma 6 27" xfId="738" xr:uid="{06399C3B-CB8A-4755-AAE0-B34E0236C967}"/>
    <cellStyle name="Comma 6 28" xfId="739" xr:uid="{98A3005B-07CA-4EA0-B7A7-EA8A11F51442}"/>
    <cellStyle name="Comma 6 29" xfId="740" xr:uid="{4EFD71C2-0BBC-4B6F-9921-637703B41B6F}"/>
    <cellStyle name="Comma 6 3" xfId="741" xr:uid="{1791548E-06A2-461E-9644-5E2AB7D70634}"/>
    <cellStyle name="Comma 6 30" xfId="742" xr:uid="{93B197B0-E74E-4A0E-AEDA-7ECBD42A5395}"/>
    <cellStyle name="Comma 6 31" xfId="743" xr:uid="{C4BA5382-F0DF-4436-9C0A-92B3D1831425}"/>
    <cellStyle name="Comma 6 32" xfId="744" xr:uid="{88A9C918-51CB-4931-ABC5-CE3165DB529B}"/>
    <cellStyle name="Comma 6 33" xfId="745" xr:uid="{BECF6006-F378-432C-BC72-34D2DF0B06DB}"/>
    <cellStyle name="Comma 6 34" xfId="746" xr:uid="{EF3791B1-BF90-4B2D-987C-2BA22BE59A84}"/>
    <cellStyle name="Comma 6 35" xfId="747" xr:uid="{7A0F9A10-0FDB-41DD-A489-F5A4D3518ED7}"/>
    <cellStyle name="Comma 6 36" xfId="748" xr:uid="{FB970191-CF23-4C49-B141-C241B409B824}"/>
    <cellStyle name="Comma 6 37" xfId="749" xr:uid="{20DCEB29-3464-4FFD-986F-CF18232B0A1C}"/>
    <cellStyle name="Comma 6 38" xfId="750" xr:uid="{CD295460-B531-4644-998F-5E5AB01B7FFD}"/>
    <cellStyle name="Comma 6 39" xfId="751" xr:uid="{B8B28F75-8932-40D4-AA45-C090DE0AAD5D}"/>
    <cellStyle name="Comma 6 4" xfId="752" xr:uid="{09346528-FEDB-4196-89B1-D6E7F3A5FC83}"/>
    <cellStyle name="Comma 6 40" xfId="753" xr:uid="{22EB8E1B-142F-4123-8991-9912FC0CA618}"/>
    <cellStyle name="Comma 6 41" xfId="754" xr:uid="{424E6114-3072-40D1-9A89-7D742CD47A73}"/>
    <cellStyle name="Comma 6 42" xfId="755" xr:uid="{4A18481A-52BE-4C81-BEA5-2E9536149E1F}"/>
    <cellStyle name="Comma 6 43" xfId="756" xr:uid="{9A346EC2-B74C-4F59-9939-1B8F25904486}"/>
    <cellStyle name="Comma 6 44" xfId="757" xr:uid="{9119F8C2-BDF8-4F9B-81F9-6C5DAD3BDC7E}"/>
    <cellStyle name="Comma 6 45" xfId="758" xr:uid="{21A54F5E-5FB2-4D71-AC18-D2D3EFE1E3E0}"/>
    <cellStyle name="Comma 6 46" xfId="759" xr:uid="{D2686877-7CB8-4E0B-9472-396F76928F93}"/>
    <cellStyle name="Comma 6 47" xfId="760" xr:uid="{AEACB7A2-63E1-48D4-8817-D5A6FB1DBEAF}"/>
    <cellStyle name="Comma 6 48" xfId="761" xr:uid="{EB7C1235-0A8E-4309-B0DF-1A80CFE3DA8C}"/>
    <cellStyle name="Comma 6 49" xfId="762" xr:uid="{5E9DE64A-ED03-4FFE-8349-D9D3AE233F1F}"/>
    <cellStyle name="Comma 6 5" xfId="763" xr:uid="{7D22A982-1BCB-4440-A736-C77B253AFDEE}"/>
    <cellStyle name="Comma 6 50" xfId="764" xr:uid="{5E5469E1-D792-4E8F-912A-6487A7122C42}"/>
    <cellStyle name="Comma 6 51" xfId="765" xr:uid="{431EA16B-9291-4B57-A845-FDF4F24C745E}"/>
    <cellStyle name="Comma 6 52" xfId="766" xr:uid="{749EBB21-3082-4770-9512-3252C3D64D8D}"/>
    <cellStyle name="Comma 6 53" xfId="767" xr:uid="{04A72BF5-88E6-4A38-8169-03234283189C}"/>
    <cellStyle name="Comma 6 54" xfId="768" xr:uid="{D31B5EF8-36CA-4DAE-8CE6-6108BE9AEB3E}"/>
    <cellStyle name="Comma 6 55" xfId="769" xr:uid="{863106E6-4ED0-4583-8897-CFF3D0C9BF8F}"/>
    <cellStyle name="Comma 6 56" xfId="770" xr:uid="{1A690738-DDD7-452B-BBAD-4CCAF3E3EA35}"/>
    <cellStyle name="Comma 6 57" xfId="771" xr:uid="{C6E262D3-FFCE-4D03-840E-CA76800669B9}"/>
    <cellStyle name="Comma 6 58" xfId="772" xr:uid="{6DECC6D4-5495-457E-AA0E-B6991BE1329F}"/>
    <cellStyle name="Comma 6 59" xfId="773" xr:uid="{9B905AD2-2544-476C-BE31-08D85A39580C}"/>
    <cellStyle name="Comma 6 6" xfId="774" xr:uid="{B560811A-B1E6-4817-A1D4-23C3288A3AB8}"/>
    <cellStyle name="Comma 6 60" xfId="775" xr:uid="{76FDDF8F-7975-4208-B86C-91391B776540}"/>
    <cellStyle name="Comma 6 61" xfId="776" xr:uid="{9C542AF8-A82D-4B36-A1CD-40A05137D3E4}"/>
    <cellStyle name="Comma 6 62" xfId="777" xr:uid="{44846FFC-7A08-44E1-A937-5D7C0841AFB7}"/>
    <cellStyle name="Comma 6 63" xfId="778" xr:uid="{A6C558D9-15D2-48F1-BE68-D0821FF00259}"/>
    <cellStyle name="Comma 6 7" xfId="779" xr:uid="{31AA2CFB-2FA9-48B6-B4CA-3EE79595014E}"/>
    <cellStyle name="Comma 6 8" xfId="780" xr:uid="{B7F77EC1-E5A3-4777-AB82-A0DABA2A13CA}"/>
    <cellStyle name="Comma 6 9" xfId="781" xr:uid="{EF463ABA-8ACA-4030-B918-2AB29790C6A9}"/>
    <cellStyle name="Comma 7" xfId="782" xr:uid="{E735149D-9382-44DE-97F5-6176BB1BB2C5}"/>
    <cellStyle name="Comma 7 10" xfId="783" xr:uid="{82D8C6D7-B270-4404-8BE2-7C39E6CFFAB7}"/>
    <cellStyle name="Comma 7 11" xfId="784" xr:uid="{A94BF37C-F81D-42C2-BA97-5C4CCA3330FD}"/>
    <cellStyle name="Comma 7 12" xfId="785" xr:uid="{F16AFBCD-4C5D-4951-89EF-D13CF0F0F993}"/>
    <cellStyle name="Comma 7 13" xfId="786" xr:uid="{361F42FF-39BA-401F-9525-CE951AB567E7}"/>
    <cellStyle name="Comma 7 14" xfId="787" xr:uid="{8A061DAC-97F7-4BB4-895B-1119538A63FE}"/>
    <cellStyle name="Comma 7 15" xfId="788" xr:uid="{6C7BCFFC-85EF-47B9-BC3B-0AA408F865D4}"/>
    <cellStyle name="Comma 7 16" xfId="789" xr:uid="{E1178301-553D-4B2C-84CE-E43B86E8C266}"/>
    <cellStyle name="Comma 7 17" xfId="790" xr:uid="{BDC0F6FD-02BA-4517-8EE8-CBB59B94DCD8}"/>
    <cellStyle name="Comma 7 18" xfId="791" xr:uid="{F67F1067-2005-415A-88BD-CDE67E87F5A1}"/>
    <cellStyle name="Comma 7 19" xfId="792" xr:uid="{45CAA035-1159-4FB8-9DDA-7E87611B282C}"/>
    <cellStyle name="Comma 7 2" xfId="793" xr:uid="{7E5FAB31-19A4-4855-906B-932F6AFC4D33}"/>
    <cellStyle name="Comma 7 20" xfId="794" xr:uid="{E50CA0F8-C5DC-4CB1-B85E-2FB4737F049D}"/>
    <cellStyle name="Comma 7 21" xfId="795" xr:uid="{62246BB3-F9BF-4467-8221-6D5366C191F8}"/>
    <cellStyle name="Comma 7 22" xfId="796" xr:uid="{C6D6255A-B34E-438F-BF32-BEDC344F3A6D}"/>
    <cellStyle name="Comma 7 23" xfId="797" xr:uid="{AE9FFA1E-3508-4DF6-BD6A-39423827E01A}"/>
    <cellStyle name="Comma 7 24" xfId="798" xr:uid="{89F8B74A-452D-46F9-A869-BBE5B1254B23}"/>
    <cellStyle name="Comma 7 25" xfId="799" xr:uid="{EFD5DF58-108D-4C16-BDEE-BC1EC8DE3E43}"/>
    <cellStyle name="Comma 7 26" xfId="800" xr:uid="{DB87852E-98AA-47D1-B8C8-497A4D3322DD}"/>
    <cellStyle name="Comma 7 27" xfId="801" xr:uid="{9959943C-76DA-42E1-8CA5-025C4F190B6F}"/>
    <cellStyle name="Comma 7 28" xfId="802" xr:uid="{A708B2C4-9219-4C98-B296-A640E96F1533}"/>
    <cellStyle name="Comma 7 29" xfId="803" xr:uid="{EE5BDF33-3457-463B-B802-1D2B74A21675}"/>
    <cellStyle name="Comma 7 3" xfId="804" xr:uid="{51A0C576-2EC7-4ECB-8788-1A524AAC21A0}"/>
    <cellStyle name="Comma 7 30" xfId="805" xr:uid="{97E73D5F-911B-4B37-9017-DE7F1E4B2221}"/>
    <cellStyle name="Comma 7 31" xfId="806" xr:uid="{78CF344D-EAFC-4C87-80BC-61AC0D833499}"/>
    <cellStyle name="Comma 7 32" xfId="807" xr:uid="{FD00D630-4369-4535-982F-CE7B2B38C504}"/>
    <cellStyle name="Comma 7 33" xfId="808" xr:uid="{1EAF5211-686D-4596-AF21-B225326F7C7A}"/>
    <cellStyle name="Comma 7 34" xfId="809" xr:uid="{5BD4C609-53E8-4118-AAB1-619CA9C15FEA}"/>
    <cellStyle name="Comma 7 35" xfId="810" xr:uid="{5B311752-831F-46C4-B971-0A3D90186E26}"/>
    <cellStyle name="Comma 7 36" xfId="811" xr:uid="{141031E5-9AF0-4A11-A6F6-022B0CD6AB90}"/>
    <cellStyle name="Comma 7 37" xfId="812" xr:uid="{52704AD6-8ABB-4633-AE6F-9B7283B9E0EE}"/>
    <cellStyle name="Comma 7 38" xfId="813" xr:uid="{E74BE059-CD90-439E-A9C8-9F7E3EFFFD06}"/>
    <cellStyle name="Comma 7 39" xfId="814" xr:uid="{50E5B88B-7D3E-442A-B69A-30DDB9A0898D}"/>
    <cellStyle name="Comma 7 4" xfId="815" xr:uid="{FC228E57-44C5-4AA3-9D06-0BDC589B17C7}"/>
    <cellStyle name="Comma 7 40" xfId="816" xr:uid="{7D767930-7AF2-45D5-87E8-BC0B6C70286D}"/>
    <cellStyle name="Comma 7 41" xfId="817" xr:uid="{B136D299-CEA4-4367-AE9E-7CB857AEE2C3}"/>
    <cellStyle name="Comma 7 42" xfId="818" xr:uid="{EF6CD313-50A1-4F07-AD2C-68DE91A954AF}"/>
    <cellStyle name="Comma 7 43" xfId="819" xr:uid="{AF28D459-CFB1-4E7F-B06F-6C6CF9E00ED5}"/>
    <cellStyle name="Comma 7 44" xfId="820" xr:uid="{B3834C56-BB22-4FC1-8F85-6A48CF18A977}"/>
    <cellStyle name="Comma 7 45" xfId="821" xr:uid="{F74E627D-D497-4D6F-A77F-5D2C204CDEE8}"/>
    <cellStyle name="Comma 7 46" xfId="822" xr:uid="{E43A5060-0497-4BE1-98E5-73716092C57E}"/>
    <cellStyle name="Comma 7 47" xfId="823" xr:uid="{EC1CC06B-3BE1-4571-8D4A-1F4255D362D2}"/>
    <cellStyle name="Comma 7 48" xfId="824" xr:uid="{E2A7DAA7-F39D-4B72-B91A-756DB760FB63}"/>
    <cellStyle name="Comma 7 49" xfId="825" xr:uid="{9197D66E-F662-4AA8-A6EE-6DA2F0F96A51}"/>
    <cellStyle name="Comma 7 5" xfId="826" xr:uid="{51503D02-4C7E-4533-946A-3EBB14FCF923}"/>
    <cellStyle name="Comma 7 50" xfId="827" xr:uid="{CE51DC8F-F917-42B5-BEF6-ED16E6C5161D}"/>
    <cellStyle name="Comma 7 51" xfId="828" xr:uid="{93201C16-4D0A-4922-99C6-0FEAA33443BF}"/>
    <cellStyle name="Comma 7 52" xfId="829" xr:uid="{A640870C-5C45-437B-BCE3-431DBB49F73D}"/>
    <cellStyle name="Comma 7 53" xfId="830" xr:uid="{A7A1F831-DE43-470E-9807-C63E735034A3}"/>
    <cellStyle name="Comma 7 54" xfId="831" xr:uid="{5057ED71-F392-44D2-BDC7-A98DB2A537E2}"/>
    <cellStyle name="Comma 7 55" xfId="832" xr:uid="{5FA416BD-0916-4044-8306-7EC614D047AA}"/>
    <cellStyle name="Comma 7 56" xfId="833" xr:uid="{172E9C68-66F1-423F-AFDE-C85F0230C28B}"/>
    <cellStyle name="Comma 7 57" xfId="834" xr:uid="{9BA2C989-764A-4F62-B0DE-A28AF35E6ACB}"/>
    <cellStyle name="Comma 7 58" xfId="835" xr:uid="{C8ED9D87-23B9-45C2-909B-E5D48966A91A}"/>
    <cellStyle name="Comma 7 59" xfId="836" xr:uid="{B0B915AE-8005-42E4-B5E1-FA49375720CE}"/>
    <cellStyle name="Comma 7 6" xfId="837" xr:uid="{D4B76D51-8392-419A-B84F-12E4EBF3398A}"/>
    <cellStyle name="Comma 7 60" xfId="838" xr:uid="{B6A4AD35-0A29-41E1-8E45-76C54CDDC67C}"/>
    <cellStyle name="Comma 7 61" xfId="839" xr:uid="{4B02CCD4-1249-4E38-A42F-1E035BB951B2}"/>
    <cellStyle name="Comma 7 62" xfId="840" xr:uid="{E96E9898-9AF1-4193-9568-3364654BF7D8}"/>
    <cellStyle name="Comma 7 63" xfId="841" xr:uid="{D2CC9437-379C-4A6C-8E1C-19E8626EA94A}"/>
    <cellStyle name="Comma 7 7" xfId="842" xr:uid="{E01A0DD4-9639-4F29-8904-F328548DE925}"/>
    <cellStyle name="Comma 7 8" xfId="843" xr:uid="{BE4D12E1-30B7-4B48-994F-01FFA14DDD17}"/>
    <cellStyle name="Comma 7 9" xfId="844" xr:uid="{104A1CC2-9313-4D92-BFCC-9BAB46D14010}"/>
    <cellStyle name="Comma 8" xfId="845" xr:uid="{5CE67CDD-E6F6-4B9B-A22C-930F26D01556}"/>
    <cellStyle name="Comma 8 10" xfId="846" xr:uid="{89D5E5F7-A7C3-425E-85C2-0E3F1C85CBE3}"/>
    <cellStyle name="Comma 8 11" xfId="847" xr:uid="{DB9245A2-35DC-4000-9833-A8B7B68F99CF}"/>
    <cellStyle name="Comma 8 12" xfId="848" xr:uid="{73C53284-5384-4C2E-BFA0-76A307BDD778}"/>
    <cellStyle name="Comma 8 13" xfId="849" xr:uid="{50078FAF-5EDA-4462-BDF8-A0D51BC290E2}"/>
    <cellStyle name="Comma 8 14" xfId="850" xr:uid="{3227F239-74DC-449B-83F1-5A039F17AE07}"/>
    <cellStyle name="Comma 8 15" xfId="851" xr:uid="{408ACFE8-85A5-4717-9720-B85E3EBD6C92}"/>
    <cellStyle name="Comma 8 16" xfId="852" xr:uid="{E36E4CB4-2725-4D27-ADC7-A1B8B47CD595}"/>
    <cellStyle name="Comma 8 17" xfId="853" xr:uid="{F1942E43-0E23-47C3-BD99-FE1254816EE7}"/>
    <cellStyle name="Comma 8 18" xfId="854" xr:uid="{53F44452-2590-4F3B-B421-19A1E71233B9}"/>
    <cellStyle name="Comma 8 19" xfId="855" xr:uid="{7BC08ABC-2ECC-4D2A-B992-45918AA5DE65}"/>
    <cellStyle name="Comma 8 2" xfId="856" xr:uid="{595CB1F3-2AD3-4A5C-9507-8ECE3F503455}"/>
    <cellStyle name="Comma 8 20" xfId="857" xr:uid="{CD4BD866-2B8E-47F5-8FCC-54D0FBAA2C5C}"/>
    <cellStyle name="Comma 8 21" xfId="858" xr:uid="{94CEDE5B-9383-425B-9A39-D093DC8DAEF4}"/>
    <cellStyle name="Comma 8 22" xfId="859" xr:uid="{7663F321-F701-4324-A2BF-CA5086E6BCC3}"/>
    <cellStyle name="Comma 8 23" xfId="860" xr:uid="{BE8442C7-41B2-450A-818C-B0865862CA63}"/>
    <cellStyle name="Comma 8 24" xfId="861" xr:uid="{564C6043-F8B7-4C6F-8906-6FAA61BF24BF}"/>
    <cellStyle name="Comma 8 25" xfId="862" xr:uid="{DBA7F8E6-B0EA-4066-8B78-4FE1ACC05BDB}"/>
    <cellStyle name="Comma 8 26" xfId="863" xr:uid="{C1A81677-D867-417D-BECF-BA2EF5ACC4D7}"/>
    <cellStyle name="Comma 8 27" xfId="864" xr:uid="{91CD9ADE-3309-40C8-92B4-1434B8B986E8}"/>
    <cellStyle name="Comma 8 28" xfId="865" xr:uid="{1C6B77DD-C8A8-4DA1-8BCF-8E534C59B7B1}"/>
    <cellStyle name="Comma 8 29" xfId="866" xr:uid="{B093C051-BB7B-4779-A65D-AA7C307F677B}"/>
    <cellStyle name="Comma 8 3" xfId="867" xr:uid="{6FD4E19E-953E-4890-B822-0D8E175A16E6}"/>
    <cellStyle name="Comma 8 30" xfId="868" xr:uid="{4F2349A8-53E0-453D-944F-5EF1AE872B80}"/>
    <cellStyle name="Comma 8 31" xfId="869" xr:uid="{559E7597-2E7C-4F9A-BB9A-61D8D09F09C1}"/>
    <cellStyle name="Comma 8 32" xfId="870" xr:uid="{A40F9E2F-9AA1-46C8-AF42-6766903E7A9C}"/>
    <cellStyle name="Comma 8 33" xfId="871" xr:uid="{552266E7-72D3-46D3-8413-382B6CE1F28A}"/>
    <cellStyle name="Comma 8 34" xfId="872" xr:uid="{1CD78495-BE23-4C2B-A136-A178DE7A9290}"/>
    <cellStyle name="Comma 8 35" xfId="873" xr:uid="{76D66B74-6F03-45F3-8B04-E8AF1C163AD6}"/>
    <cellStyle name="Comma 8 36" xfId="874" xr:uid="{FBA6A0C2-558C-4BE1-80A1-338046B99771}"/>
    <cellStyle name="Comma 8 37" xfId="875" xr:uid="{35B68C4E-F1B2-4598-A2EF-A5FC10067762}"/>
    <cellStyle name="Comma 8 38" xfId="876" xr:uid="{41D643E9-770D-40BF-B984-68A05410C879}"/>
    <cellStyle name="Comma 8 39" xfId="877" xr:uid="{3D3BEA37-604C-4425-A802-30BF4A0CF2CA}"/>
    <cellStyle name="Comma 8 4" xfId="878" xr:uid="{FB13751C-144F-4913-B223-D5A080464867}"/>
    <cellStyle name="Comma 8 40" xfId="879" xr:uid="{385D326D-6599-4A57-A2CD-83C19DDDF328}"/>
    <cellStyle name="Comma 8 41" xfId="880" xr:uid="{CCE8F028-514A-48C3-90EA-78360BF611BC}"/>
    <cellStyle name="Comma 8 42" xfId="881" xr:uid="{D8C5869F-A73F-4A31-A41A-7DAF3F1045B1}"/>
    <cellStyle name="Comma 8 43" xfId="882" xr:uid="{A8F00E5F-AC94-4BE4-886A-A062EC5227BB}"/>
    <cellStyle name="Comma 8 44" xfId="883" xr:uid="{86479AC8-4001-4B33-9119-A15794D56A5E}"/>
    <cellStyle name="Comma 8 45" xfId="884" xr:uid="{FA0613FA-A411-497D-A57A-9A9819FA22F4}"/>
    <cellStyle name="Comma 8 46" xfId="885" xr:uid="{CBBD4857-5CF4-4A25-A3FD-997B5A7E9D66}"/>
    <cellStyle name="Comma 8 47" xfId="886" xr:uid="{8406AE31-5BE3-44D2-9D6D-2154B5AB27E6}"/>
    <cellStyle name="Comma 8 48" xfId="887" xr:uid="{DC2EB4D6-69B6-4E89-AA7D-D58DFBF06694}"/>
    <cellStyle name="Comma 8 49" xfId="888" xr:uid="{69087263-0DD4-4A48-9A61-114C5C6C41DA}"/>
    <cellStyle name="Comma 8 5" xfId="889" xr:uid="{A4C7E0B8-C8B6-4605-A4C0-62AA2C9947C3}"/>
    <cellStyle name="Comma 8 50" xfId="890" xr:uid="{5B8FFA22-590A-4C03-AFC6-E20277791797}"/>
    <cellStyle name="Comma 8 51" xfId="891" xr:uid="{EEBD8822-3A2C-417C-8A9B-C610A7623110}"/>
    <cellStyle name="Comma 8 52" xfId="892" xr:uid="{C4548F28-EC53-4043-B679-3E414A5E97E7}"/>
    <cellStyle name="Comma 8 53" xfId="893" xr:uid="{5C10A78B-D457-47C2-9C1D-1BE9FCA894C7}"/>
    <cellStyle name="Comma 8 54" xfId="894" xr:uid="{4B7E0626-7CCD-455A-81CF-E1756B0C1EF5}"/>
    <cellStyle name="Comma 8 55" xfId="895" xr:uid="{FA96D155-01B3-4978-8E36-C9B924628CD9}"/>
    <cellStyle name="Comma 8 56" xfId="896" xr:uid="{EA86C99A-CDE1-4159-905E-54BB3A911B33}"/>
    <cellStyle name="Comma 8 57" xfId="897" xr:uid="{4AB2398D-A54E-4E11-A3E7-668B51DCC4AD}"/>
    <cellStyle name="Comma 8 58" xfId="898" xr:uid="{1CD26C31-F2A0-4FC4-BBEC-8309AF42C6C2}"/>
    <cellStyle name="Comma 8 59" xfId="899" xr:uid="{ACD72A2D-A08E-4BE9-89E8-30607C8E45AC}"/>
    <cellStyle name="Comma 8 6" xfId="900" xr:uid="{1C600D6E-A6E7-4969-8393-1A9E3AD5CCE4}"/>
    <cellStyle name="Comma 8 60" xfId="901" xr:uid="{C4B306F3-D4B2-4A0D-B39E-E82B0E2FAD07}"/>
    <cellStyle name="Comma 8 61" xfId="902" xr:uid="{EE7B929C-7751-464D-8FFC-DA5586744449}"/>
    <cellStyle name="Comma 8 62" xfId="903" xr:uid="{C2B96AD5-4DC6-47B3-BDB3-084F974B495F}"/>
    <cellStyle name="Comma 8 63" xfId="904" xr:uid="{ED5D06AD-5C3C-4BDA-81E1-C7C7D7C2BC06}"/>
    <cellStyle name="Comma 8 7" xfId="905" xr:uid="{F2F25DAB-1308-4F72-A075-E85C9E394A8A}"/>
    <cellStyle name="Comma 8 8" xfId="906" xr:uid="{A8AF3E45-1068-4CE1-8735-FB46075B45D0}"/>
    <cellStyle name="Comma 8 9" xfId="907" xr:uid="{64647839-FC5D-4354-8CA8-EB3AC49914AD}"/>
    <cellStyle name="Comma 9" xfId="908" xr:uid="{A2542651-9745-45CF-99D9-DAB9919E8C8B}"/>
    <cellStyle name="Comma 9 10" xfId="909" xr:uid="{49B78AD8-FEE5-4F60-804A-84A9BDA2BCDB}"/>
    <cellStyle name="Comma 9 11" xfId="910" xr:uid="{3FCCA426-2DC8-4459-B35D-4F4553F08A1F}"/>
    <cellStyle name="Comma 9 12" xfId="911" xr:uid="{47FC68C3-ABA1-4EEF-B0E0-012A24256F29}"/>
    <cellStyle name="Comma 9 13" xfId="912" xr:uid="{A556A664-4CBF-41C3-B857-F72816F7E551}"/>
    <cellStyle name="Comma 9 14" xfId="913" xr:uid="{C0F28D77-92AD-48DC-B822-A0D793DE22D3}"/>
    <cellStyle name="Comma 9 15" xfId="914" xr:uid="{63F3A09F-50A7-4A13-B88C-49D00947BEB9}"/>
    <cellStyle name="Comma 9 16" xfId="915" xr:uid="{4CFA9779-ED41-4566-BCB1-4FB83B321F0D}"/>
    <cellStyle name="Comma 9 17" xfId="916" xr:uid="{1DF8A550-4F48-4A7B-AE1B-5F1E1D3796CB}"/>
    <cellStyle name="Comma 9 18" xfId="917" xr:uid="{DD7E3480-E20F-41B5-A222-FFF013166E51}"/>
    <cellStyle name="Comma 9 19" xfId="918" xr:uid="{C757F417-EB4F-438B-85FA-77B0FFC0F35E}"/>
    <cellStyle name="Comma 9 2" xfId="919" xr:uid="{C93E207B-831B-472D-9B1E-27E01E273B86}"/>
    <cellStyle name="Comma 9 20" xfId="920" xr:uid="{49962287-F8EB-4B4B-9AD5-8F385BAF7FA0}"/>
    <cellStyle name="Comma 9 21" xfId="921" xr:uid="{86CD9322-ED70-48EB-B1C3-6642C89CF12A}"/>
    <cellStyle name="Comma 9 22" xfId="922" xr:uid="{472B0AB6-D4ED-4355-928F-EDE9E6497049}"/>
    <cellStyle name="Comma 9 23" xfId="923" xr:uid="{2F1646EA-9011-45D1-9312-73BA15192DDC}"/>
    <cellStyle name="Comma 9 24" xfId="924" xr:uid="{514D7934-9C0A-4290-A1EE-A78BE939D840}"/>
    <cellStyle name="Comma 9 25" xfId="925" xr:uid="{DF2DFB45-7DF8-44AA-899A-7CE75DCB018E}"/>
    <cellStyle name="Comma 9 26" xfId="926" xr:uid="{953EBF0B-C866-48A2-9D54-63961E524D9F}"/>
    <cellStyle name="Comma 9 27" xfId="927" xr:uid="{9D163A76-6157-41DA-8C8F-A6E077813BE4}"/>
    <cellStyle name="Comma 9 28" xfId="928" xr:uid="{D471A6BA-2658-4878-9A9D-9D5D9A71546B}"/>
    <cellStyle name="Comma 9 29" xfId="929" xr:uid="{48343F29-BC72-4DB6-8027-725C606D82D0}"/>
    <cellStyle name="Comma 9 3" xfId="930" xr:uid="{3E7A33BB-6BFD-42D9-95B6-36B6CB783A12}"/>
    <cellStyle name="Comma 9 30" xfId="931" xr:uid="{0DF90A22-1841-44F3-9A20-779C1DA85385}"/>
    <cellStyle name="Comma 9 31" xfId="932" xr:uid="{7BAC4534-A4C0-454B-A578-CE0753C1D3F9}"/>
    <cellStyle name="Comma 9 32" xfId="933" xr:uid="{7EED8A55-A2EA-4478-921A-64722266FD22}"/>
    <cellStyle name="Comma 9 33" xfId="934" xr:uid="{021D0DE1-D499-4E58-B41C-64E7957F2CE6}"/>
    <cellStyle name="Comma 9 34" xfId="935" xr:uid="{4B803A29-770D-4EAB-B772-5808BB7994F1}"/>
    <cellStyle name="Comma 9 35" xfId="936" xr:uid="{0F221007-3526-473D-982C-4180F71416A4}"/>
    <cellStyle name="Comma 9 36" xfId="937" xr:uid="{998F22E5-3690-4A14-AC1D-A93F64DC301B}"/>
    <cellStyle name="Comma 9 37" xfId="938" xr:uid="{D95916AD-EF11-407D-845E-E29B1981A107}"/>
    <cellStyle name="Comma 9 38" xfId="939" xr:uid="{A90114DE-1D8A-4B46-8A6E-BB75F4AFEA6C}"/>
    <cellStyle name="Comma 9 39" xfId="940" xr:uid="{EE25C797-E33D-4E3D-A878-25B07D5FD42D}"/>
    <cellStyle name="Comma 9 4" xfId="941" xr:uid="{9900495D-98CB-42EF-AEAE-C83B1DD8A6C5}"/>
    <cellStyle name="Comma 9 40" xfId="942" xr:uid="{819C3C38-796F-492E-A820-F513E53E319B}"/>
    <cellStyle name="Comma 9 41" xfId="943" xr:uid="{9BB3E165-0348-471F-8E9B-AA5752ACFC20}"/>
    <cellStyle name="Comma 9 42" xfId="944" xr:uid="{DA926E0B-1ED4-4759-B2D9-2CDB5DB167D9}"/>
    <cellStyle name="Comma 9 43" xfId="945" xr:uid="{03DADFA1-4D5A-4F17-A58E-8F758974EF3B}"/>
    <cellStyle name="Comma 9 44" xfId="946" xr:uid="{8E619831-0E6D-485B-B01F-7366BC460A6C}"/>
    <cellStyle name="Comma 9 45" xfId="947" xr:uid="{D6F6AE2F-09EC-4B53-AF4B-94908CA2E911}"/>
    <cellStyle name="Comma 9 46" xfId="948" xr:uid="{A72D5397-2430-4585-BDDB-EDC81D93635C}"/>
    <cellStyle name="Comma 9 47" xfId="949" xr:uid="{F3D6F833-D481-4D5B-9719-2AD50C27F2D9}"/>
    <cellStyle name="Comma 9 48" xfId="950" xr:uid="{E122A57B-F70E-4812-A545-9A23FD1217D9}"/>
    <cellStyle name="Comma 9 49" xfId="951" xr:uid="{C64E7410-0B08-46CC-8545-EABBE97023D9}"/>
    <cellStyle name="Comma 9 5" xfId="952" xr:uid="{0F740183-E7CF-4D18-BAEE-53643F26CEEE}"/>
    <cellStyle name="Comma 9 50" xfId="953" xr:uid="{891FD6D1-2AEC-4A9D-B61C-7132B8A2856E}"/>
    <cellStyle name="Comma 9 51" xfId="954" xr:uid="{73DFC403-7AAF-4335-AAD3-337D2B8AB153}"/>
    <cellStyle name="Comma 9 52" xfId="955" xr:uid="{2383BB11-F57A-4A15-A799-4CCB3DDEA7AE}"/>
    <cellStyle name="Comma 9 53" xfId="956" xr:uid="{115F8F45-7983-4867-9EE1-33EBFF4120C6}"/>
    <cellStyle name="Comma 9 54" xfId="957" xr:uid="{38B6384C-EAA9-48DF-BF70-1A2D5BC4283A}"/>
    <cellStyle name="Comma 9 55" xfId="958" xr:uid="{DE43C574-4C59-4175-8032-9F90A0A480D8}"/>
    <cellStyle name="Comma 9 56" xfId="959" xr:uid="{AAA504EE-11AF-4396-A19D-91665B484399}"/>
    <cellStyle name="Comma 9 57" xfId="960" xr:uid="{17B44387-7BD8-469B-9B93-DE9FCFF6C945}"/>
    <cellStyle name="Comma 9 58" xfId="961" xr:uid="{82DA7AD3-3FCF-4751-9315-30EDA4408ACB}"/>
    <cellStyle name="Comma 9 59" xfId="962" xr:uid="{1475EDCB-D050-4F36-B97E-3EB7AFC88825}"/>
    <cellStyle name="Comma 9 6" xfId="963" xr:uid="{6ACC0177-94BE-4D05-8542-EB64468853D0}"/>
    <cellStyle name="Comma 9 60" xfId="964" xr:uid="{24FB582F-73F6-4F19-96C2-DE8E48C7F1DC}"/>
    <cellStyle name="Comma 9 61" xfId="965" xr:uid="{A6BB43A8-A0C2-4BD4-9F6A-3489B6CB5CF2}"/>
    <cellStyle name="Comma 9 62" xfId="966" xr:uid="{9AF1298A-0659-4665-B9D6-3B409B4A32BF}"/>
    <cellStyle name="Comma 9 63" xfId="967" xr:uid="{A2890DFD-CEBD-4A35-BBD9-2EDDA91707B0}"/>
    <cellStyle name="Comma 9 7" xfId="968" xr:uid="{9459A8C9-B815-4852-A329-2972FBEBC94F}"/>
    <cellStyle name="Comma 9 8" xfId="969" xr:uid="{3902BEEF-4414-4F72-9B76-6A31D5DEA0CA}"/>
    <cellStyle name="Comma 9 9" xfId="970" xr:uid="{D4BA385C-1CDD-4FD2-AFEB-9D9843BA2C86}"/>
    <cellStyle name="Currency [0] 2" xfId="971" xr:uid="{89D76415-5D27-481F-B1E0-169D0EE6C3D1}"/>
    <cellStyle name="Currency [0] 2 10" xfId="972" xr:uid="{67BD49CF-7950-4C51-8378-2C1FEDAF280E}"/>
    <cellStyle name="Currency [0] 2 11" xfId="973" xr:uid="{E5AED7E9-6C9E-4C6D-9D3F-D4C0AC4E8F23}"/>
    <cellStyle name="Currency [0] 2 12" xfId="974" xr:uid="{D4E66C04-5691-4D4B-BDF6-E4471575080B}"/>
    <cellStyle name="Currency [0] 2 13" xfId="975" xr:uid="{DE244B15-1738-446D-99FF-FDF844C21860}"/>
    <cellStyle name="Currency [0] 2 14" xfId="976" xr:uid="{5609E54D-0228-4048-9684-5C82AB8EF84D}"/>
    <cellStyle name="Currency [0] 2 15" xfId="977" xr:uid="{5179123C-1B36-4429-96B8-2382A0B665ED}"/>
    <cellStyle name="Currency [0] 2 16" xfId="978" xr:uid="{3F6E9F59-14AF-431C-8766-B38065B6ED3A}"/>
    <cellStyle name="Currency [0] 2 17" xfId="979" xr:uid="{AB33A24D-0112-4DAF-9960-9DE0836ACC7B}"/>
    <cellStyle name="Currency [0] 2 18" xfId="980" xr:uid="{2059DCB2-A5E6-4D3A-9C28-CB3C1BB8BCBB}"/>
    <cellStyle name="Currency [0] 2 19" xfId="981" xr:uid="{AEBE0E35-F0E3-43B4-9836-52421C156AAB}"/>
    <cellStyle name="Currency [0] 2 2" xfId="982" xr:uid="{8FEADE48-9BB3-48AE-9252-209775C47BA0}"/>
    <cellStyle name="Currency [0] 2 20" xfId="983" xr:uid="{924E4129-F94E-415B-AB9A-68D41B82ACD1}"/>
    <cellStyle name="Currency [0] 2 21" xfId="984" xr:uid="{6C2CEF26-49B9-49C6-AF69-77293BC29B98}"/>
    <cellStyle name="Currency [0] 2 22" xfId="985" xr:uid="{C3D2F9E4-2D72-41B8-A399-8D10428FBF5A}"/>
    <cellStyle name="Currency [0] 2 23" xfId="986" xr:uid="{D8B4DB27-EB71-4B66-B393-A148787946D9}"/>
    <cellStyle name="Currency [0] 2 24" xfId="987" xr:uid="{96A7142A-FE32-41B3-89FC-25EE88CA86C2}"/>
    <cellStyle name="Currency [0] 2 25" xfId="988" xr:uid="{3287ED0E-366A-492A-9A8A-9994C1A990A8}"/>
    <cellStyle name="Currency [0] 2 26" xfId="989" xr:uid="{AD719AFB-95CB-4105-AC0A-CF5496B3CF9F}"/>
    <cellStyle name="Currency [0] 2 27" xfId="990" xr:uid="{06A2C767-0616-4C2E-9BE6-0153349EEF2A}"/>
    <cellStyle name="Currency [0] 2 28" xfId="991" xr:uid="{2DDF7671-ECB4-4A28-853F-D38B5982EB7F}"/>
    <cellStyle name="Currency [0] 2 29" xfId="992" xr:uid="{8DCC5B3D-2211-45FB-9499-9BB6BD206568}"/>
    <cellStyle name="Currency [0] 2 3" xfId="993" xr:uid="{537F7EA6-A7A5-4996-88B9-8C453A5F82E3}"/>
    <cellStyle name="Currency [0] 2 30" xfId="994" xr:uid="{C57298DB-1A33-47A1-8FDC-FF9560387ABD}"/>
    <cellStyle name="Currency [0] 2 31" xfId="995" xr:uid="{2B86B24B-0F17-4547-AA4B-9BB9B454B69C}"/>
    <cellStyle name="Currency [0] 2 32" xfId="996" xr:uid="{B37D32F4-F3FA-44A0-A135-3C9750535293}"/>
    <cellStyle name="Currency [0] 2 33" xfId="997" xr:uid="{5366FC43-BE8F-4F16-91A5-DB0D57536BA5}"/>
    <cellStyle name="Currency [0] 2 34" xfId="998" xr:uid="{4EB9063B-3DE7-4063-8A2D-C15A703D7402}"/>
    <cellStyle name="Currency [0] 2 35" xfId="999" xr:uid="{7D6CBC83-0B39-45BF-8371-BCEE5D9452B6}"/>
    <cellStyle name="Currency [0] 2 36" xfId="1000" xr:uid="{A68B12E6-FCF2-437C-A069-C999067E7F94}"/>
    <cellStyle name="Currency [0] 2 37" xfId="1001" xr:uid="{C04B1B2D-1C81-44A1-A1FB-12895CC8CC77}"/>
    <cellStyle name="Currency [0] 2 38" xfId="1002" xr:uid="{77B6A00C-53A5-4A2E-A59A-0660FEFAB716}"/>
    <cellStyle name="Currency [0] 2 39" xfId="1003" xr:uid="{410182A7-FC84-4737-942F-139CC3E21C43}"/>
    <cellStyle name="Currency [0] 2 4" xfId="1004" xr:uid="{AF752486-F166-433C-BCA6-CDE649F9A644}"/>
    <cellStyle name="Currency [0] 2 40" xfId="1005" xr:uid="{A051E26B-B8C2-4717-B0B5-1DB94E6EA799}"/>
    <cellStyle name="Currency [0] 2 41" xfId="1006" xr:uid="{5FBCAA60-9D57-4B61-960D-4740F04378B5}"/>
    <cellStyle name="Currency [0] 2 42" xfId="1007" xr:uid="{01AC0212-19EE-4530-AC99-B678ECC74CAC}"/>
    <cellStyle name="Currency [0] 2 43" xfId="1008" xr:uid="{ABA8FB44-4A5A-49FC-AD93-6F1DFB26E504}"/>
    <cellStyle name="Currency [0] 2 44" xfId="1009" xr:uid="{92AA8B88-9048-4F86-86F0-1E4CDA49C9B8}"/>
    <cellStyle name="Currency [0] 2 45" xfId="1010" xr:uid="{882EBD36-0355-4608-8186-889A9F997790}"/>
    <cellStyle name="Currency [0] 2 46" xfId="1011" xr:uid="{D72E9BE5-E386-4E9F-82C2-BA2B3086A65B}"/>
    <cellStyle name="Currency [0] 2 47" xfId="1012" xr:uid="{D3130067-78F0-4748-A26B-160C62F5CE83}"/>
    <cellStyle name="Currency [0] 2 48" xfId="1013" xr:uid="{A9A07571-819D-4484-80D0-02522CDE4057}"/>
    <cellStyle name="Currency [0] 2 49" xfId="1014" xr:uid="{C94781DF-A8A0-4DCC-9265-942C56419D85}"/>
    <cellStyle name="Currency [0] 2 5" xfId="1015" xr:uid="{9D1A5946-536B-4FCF-9E8E-DE0934F7DC07}"/>
    <cellStyle name="Currency [0] 2 50" xfId="1016" xr:uid="{0A61CBDF-2A0E-4B90-8586-7022662356BB}"/>
    <cellStyle name="Currency [0] 2 51" xfId="1017" xr:uid="{18E4D67B-3657-4D9D-BE35-4CBA09038C3A}"/>
    <cellStyle name="Currency [0] 2 52" xfId="1018" xr:uid="{3F2D3AA5-9EB2-411B-8E45-3D20FC096A75}"/>
    <cellStyle name="Currency [0] 2 53" xfId="1019" xr:uid="{A813A1C0-5C63-420B-9057-AB33D0027CFA}"/>
    <cellStyle name="Currency [0] 2 54" xfId="1020" xr:uid="{17EABA75-ACEE-41B1-8150-84B36489E0CE}"/>
    <cellStyle name="Currency [0] 2 55" xfId="1021" xr:uid="{ADABAFE2-8E67-40FA-82B9-EC1A6AA860BE}"/>
    <cellStyle name="Currency [0] 2 56" xfId="1022" xr:uid="{2C514400-ACC8-4C56-AB70-7CDDB397B2D4}"/>
    <cellStyle name="Currency [0] 2 57" xfId="1023" xr:uid="{80EFC530-B7B3-409A-9A5A-2A49CB6B7467}"/>
    <cellStyle name="Currency [0] 2 58" xfId="1024" xr:uid="{09EA3C56-0D44-4225-9647-C8B5019A969A}"/>
    <cellStyle name="Currency [0] 2 59" xfId="1025" xr:uid="{C9C48322-8459-4694-AD4D-6C0CB370DD22}"/>
    <cellStyle name="Currency [0] 2 6" xfId="1026" xr:uid="{0766130C-3E19-46B6-962F-115137A1FC80}"/>
    <cellStyle name="Currency [0] 2 60" xfId="1027" xr:uid="{895C02F8-2807-4160-9170-42C0D650EED1}"/>
    <cellStyle name="Currency [0] 2 61" xfId="1028" xr:uid="{B3EA233A-FCC2-4758-8780-EAD121675C08}"/>
    <cellStyle name="Currency [0] 2 62" xfId="1029" xr:uid="{94CBE243-C700-4CBB-81A5-649A91AEEC45}"/>
    <cellStyle name="Currency [0] 2 63" xfId="1030" xr:uid="{2C7A5360-C635-43A1-A37B-BBE5184DCABE}"/>
    <cellStyle name="Currency [0] 2 7" xfId="1031" xr:uid="{DDF538CA-34E1-46DB-AC59-0FB2DB40C06D}"/>
    <cellStyle name="Currency [0] 2 8" xfId="1032" xr:uid="{BB18D593-4DC4-48C8-9124-AB0FD86B059D}"/>
    <cellStyle name="Currency [0] 2 9" xfId="1033" xr:uid="{A1503C3F-DDEB-486F-9967-886BE4D5C926}"/>
    <cellStyle name="Currency [0] 3" xfId="1034" xr:uid="{99CCC24D-2F84-40FE-80F8-99EC0954FDC1}"/>
    <cellStyle name="Currency [0] 3 10" xfId="1035" xr:uid="{DBFC21C4-671B-4D86-8E30-B20186A58C04}"/>
    <cellStyle name="Currency [0] 3 11" xfId="1036" xr:uid="{B5E3B9E2-C22D-4CE6-B9EF-A09F946653D7}"/>
    <cellStyle name="Currency [0] 3 12" xfId="1037" xr:uid="{553B3686-199E-4C0D-8B2D-33D1D8713BF7}"/>
    <cellStyle name="Currency [0] 3 13" xfId="1038" xr:uid="{C62370A4-B6CF-4168-BF3E-9A74991E1625}"/>
    <cellStyle name="Currency [0] 3 14" xfId="1039" xr:uid="{3473FE27-3E02-4668-9CA1-8A3849956450}"/>
    <cellStyle name="Currency [0] 3 15" xfId="1040" xr:uid="{CBB40B1D-F32C-4624-8839-63B25FEF8B87}"/>
    <cellStyle name="Currency [0] 3 16" xfId="1041" xr:uid="{4FCB93BA-42E6-4165-84E6-530F76D83B78}"/>
    <cellStyle name="Currency [0] 3 17" xfId="1042" xr:uid="{5F339156-B5CC-4DA4-B667-A43BD9A9D243}"/>
    <cellStyle name="Currency [0] 3 18" xfId="1043" xr:uid="{7228BFF9-81BC-40F4-AB98-D350BED5D929}"/>
    <cellStyle name="Currency [0] 3 19" xfId="1044" xr:uid="{BD6662C1-66DD-4E5D-B2B3-5A276AE093F0}"/>
    <cellStyle name="Currency [0] 3 2" xfId="1045" xr:uid="{138A6171-7532-4476-B5D4-C48820CADE23}"/>
    <cellStyle name="Currency [0] 3 20" xfId="1046" xr:uid="{C0E7E785-EABC-4475-BF4F-2DDA4F4CFC9B}"/>
    <cellStyle name="Currency [0] 3 21" xfId="1047" xr:uid="{B1A6FB45-EC90-4DE9-B783-06CD9FA09F18}"/>
    <cellStyle name="Currency [0] 3 22" xfId="1048" xr:uid="{C0F59493-7B03-4BCF-9CA4-B7357B5DB431}"/>
    <cellStyle name="Currency [0] 3 23" xfId="1049" xr:uid="{6154BEDA-EACB-405A-8B6B-959647860A7D}"/>
    <cellStyle name="Currency [0] 3 24" xfId="1050" xr:uid="{1680F040-4926-41C3-ABF6-E1A391C4370D}"/>
    <cellStyle name="Currency [0] 3 25" xfId="1051" xr:uid="{666E91EE-280D-48AB-A4A0-A84312666B0F}"/>
    <cellStyle name="Currency [0] 3 26" xfId="1052" xr:uid="{DA52D1B6-EB3A-4DE3-9F0B-E0F98597AD0F}"/>
    <cellStyle name="Currency [0] 3 27" xfId="1053" xr:uid="{EFE6BBCB-D7A8-4B71-8209-2572928D3003}"/>
    <cellStyle name="Currency [0] 3 28" xfId="1054" xr:uid="{07C83562-B8CD-43FD-ACF3-5983EAFEBCAE}"/>
    <cellStyle name="Currency [0] 3 29" xfId="1055" xr:uid="{0DC4CE9F-4704-4F76-8457-F1C8927C277A}"/>
    <cellStyle name="Currency [0] 3 3" xfId="1056" xr:uid="{4FD099B7-265F-4193-9153-551E5A2C5F13}"/>
    <cellStyle name="Currency [0] 3 30" xfId="1057" xr:uid="{C1783F97-6AA1-4676-83B0-24D6E988AD20}"/>
    <cellStyle name="Currency [0] 3 31" xfId="1058" xr:uid="{9254190E-3CCC-405C-9E64-5952C55763D8}"/>
    <cellStyle name="Currency [0] 3 32" xfId="1059" xr:uid="{B41F0ADA-1A05-42F1-830E-8B7C57C57F29}"/>
    <cellStyle name="Currency [0] 3 33" xfId="1060" xr:uid="{D3BEBFD7-A9D7-4819-8623-2F066A8FC69B}"/>
    <cellStyle name="Currency [0] 3 34" xfId="1061" xr:uid="{A27CD8BB-C06D-456F-9860-07796761350F}"/>
    <cellStyle name="Currency [0] 3 35" xfId="1062" xr:uid="{871C2416-7399-4C0A-B1C4-499C4033F779}"/>
    <cellStyle name="Currency [0] 3 36" xfId="1063" xr:uid="{A270D48C-AC0B-4890-8ECE-6D20FC0B2222}"/>
    <cellStyle name="Currency [0] 3 37" xfId="1064" xr:uid="{7CE993BD-95B4-4E4F-88C0-07F96513581A}"/>
    <cellStyle name="Currency [0] 3 38" xfId="1065" xr:uid="{812FC1DA-30D2-4149-BB0A-24B37ACC1AB4}"/>
    <cellStyle name="Currency [0] 3 39" xfId="1066" xr:uid="{B463656D-D576-4A99-A473-700E0EF103C7}"/>
    <cellStyle name="Currency [0] 3 4" xfId="1067" xr:uid="{6EDD9E44-77E6-4F48-8B39-4019B0B5D202}"/>
    <cellStyle name="Currency [0] 3 40" xfId="1068" xr:uid="{31030D97-8A32-4AD0-948B-A50802CAF222}"/>
    <cellStyle name="Currency [0] 3 41" xfId="1069" xr:uid="{0149C391-C2D4-4360-B599-BA035E09C598}"/>
    <cellStyle name="Currency [0] 3 42" xfId="1070" xr:uid="{5779B781-62FE-4F74-85EA-14AF18D0D8A7}"/>
    <cellStyle name="Currency [0] 3 43" xfId="1071" xr:uid="{4F849837-19C3-4634-A680-D1AEC387EEB6}"/>
    <cellStyle name="Currency [0] 3 44" xfId="1072" xr:uid="{9F3DC5CD-6812-4153-8D19-AB6467F58F41}"/>
    <cellStyle name="Currency [0] 3 45" xfId="1073" xr:uid="{836FE6F6-F21E-4E4A-AE0E-DA08EC12541E}"/>
    <cellStyle name="Currency [0] 3 46" xfId="1074" xr:uid="{64356803-8E01-4348-B5DA-E33B93B393B2}"/>
    <cellStyle name="Currency [0] 3 47" xfId="1075" xr:uid="{1FF802F9-0190-4EE5-A540-3B7021BECE56}"/>
    <cellStyle name="Currency [0] 3 48" xfId="1076" xr:uid="{50E6AD21-D123-4336-9159-689277B9E59A}"/>
    <cellStyle name="Currency [0] 3 49" xfId="1077" xr:uid="{D0E3765A-4C67-4163-B94A-A0835667472D}"/>
    <cellStyle name="Currency [0] 3 5" xfId="1078" xr:uid="{CEF6F28F-DF8B-49B2-B955-534C9E8FA9EE}"/>
    <cellStyle name="Currency [0] 3 50" xfId="1079" xr:uid="{58CC48F1-FC15-48F0-A0F9-55F2DFD2DB83}"/>
    <cellStyle name="Currency [0] 3 51" xfId="1080" xr:uid="{40BEFB51-A2EB-4223-BE4F-22F57B041FF3}"/>
    <cellStyle name="Currency [0] 3 52" xfId="1081" xr:uid="{4176211A-DD32-4B67-9527-81A74542FD52}"/>
    <cellStyle name="Currency [0] 3 53" xfId="1082" xr:uid="{B58BB4F2-9FCB-41FD-827D-DF276F611C56}"/>
    <cellStyle name="Currency [0] 3 54" xfId="1083" xr:uid="{A6A5C275-C8FB-4F79-9657-AA0866695E09}"/>
    <cellStyle name="Currency [0] 3 55" xfId="1084" xr:uid="{EEA640B0-E517-4476-A849-8DD4A489DE12}"/>
    <cellStyle name="Currency [0] 3 56" xfId="1085" xr:uid="{21A037A9-A936-4465-BF0C-408238283BF8}"/>
    <cellStyle name="Currency [0] 3 57" xfId="1086" xr:uid="{2C402CC1-3B24-4AE4-8B93-AA2CF007D509}"/>
    <cellStyle name="Currency [0] 3 58" xfId="1087" xr:uid="{DCFC152E-7BD9-4375-8666-04ADDA75D8DD}"/>
    <cellStyle name="Currency [0] 3 59" xfId="1088" xr:uid="{875362C3-122F-4746-B9A8-A5AB31603002}"/>
    <cellStyle name="Currency [0] 3 6" xfId="1089" xr:uid="{D706931D-BA27-44AC-99EB-04768D970FC2}"/>
    <cellStyle name="Currency [0] 3 60" xfId="1090" xr:uid="{86D4B397-E716-4544-BEF3-B294FC8FF0D3}"/>
    <cellStyle name="Currency [0] 3 61" xfId="1091" xr:uid="{ECDE6E59-2270-48A6-86C7-B3ED295A2004}"/>
    <cellStyle name="Currency [0] 3 62" xfId="1092" xr:uid="{005D6C22-AD89-4DBE-BDD4-1B86BB7AC5F4}"/>
    <cellStyle name="Currency [0] 3 63" xfId="1093" xr:uid="{A49CDBB9-9BCD-4BBC-BF26-24B9DDD5B38C}"/>
    <cellStyle name="Currency [0] 3 64" xfId="1094" xr:uid="{1573CF10-D561-4461-BCD6-F66BB7EEE44C}"/>
    <cellStyle name="Currency [0] 3 7" xfId="1095" xr:uid="{D393C2C1-11F1-4E09-B3AB-E944D4BFBDDF}"/>
    <cellStyle name="Currency [0] 3 8" xfId="1096" xr:uid="{2055F815-9DC2-4F14-B8B4-A4524E2F8C38}"/>
    <cellStyle name="Currency [0] 3 9" xfId="1097" xr:uid="{8E70FAE7-BB33-4556-8F9D-197D505B8BF3}"/>
    <cellStyle name="Currency [0] 4" xfId="1098" xr:uid="{AD361032-005C-4101-89B9-ADBE913DBF06}"/>
    <cellStyle name="Currency [0] 4 10" xfId="1099" xr:uid="{8B4F6C96-A8FA-4DF6-9CF2-8374DE50C557}"/>
    <cellStyle name="Currency [0] 4 11" xfId="1100" xr:uid="{AABD2CDA-1D8F-4D6E-92C1-6919B31686BC}"/>
    <cellStyle name="Currency [0] 4 12" xfId="1101" xr:uid="{2C36E077-FCD1-4CBD-8941-B426C97ADACF}"/>
    <cellStyle name="Currency [0] 4 13" xfId="1102" xr:uid="{42D8F95E-1511-48D2-AC07-89747A0EADC1}"/>
    <cellStyle name="Currency [0] 4 14" xfId="1103" xr:uid="{AEC6DD0C-55FA-49B4-9A77-C763A02FC957}"/>
    <cellStyle name="Currency [0] 4 15" xfId="1104" xr:uid="{EB706276-3669-430F-8108-A735141935A8}"/>
    <cellStyle name="Currency [0] 4 16" xfId="1105" xr:uid="{847349A6-EE64-4479-B2A5-84A1C41EAA6C}"/>
    <cellStyle name="Currency [0] 4 17" xfId="1106" xr:uid="{F8BFDE3F-38E0-479E-83D6-346F2D84CEC2}"/>
    <cellStyle name="Currency [0] 4 18" xfId="1107" xr:uid="{6BE82663-5E9E-4732-9583-5746E942423C}"/>
    <cellStyle name="Currency [0] 4 19" xfId="1108" xr:uid="{B0929B98-2D5E-4143-B82D-9AE0205CC3A6}"/>
    <cellStyle name="Currency [0] 4 2" xfId="1109" xr:uid="{3D47E0FC-EF81-4AE3-A0C9-DBB18B092271}"/>
    <cellStyle name="Currency [0] 4 20" xfId="1110" xr:uid="{1C9F7E76-4E3D-43AA-AFF8-C5BB92B6B10C}"/>
    <cellStyle name="Currency [0] 4 21" xfId="1111" xr:uid="{1E1B4D9E-3B94-4B0D-89C8-1A15BC56D84B}"/>
    <cellStyle name="Currency [0] 4 22" xfId="1112" xr:uid="{1B85BE57-751F-4AE0-9950-F6CEFB556B82}"/>
    <cellStyle name="Currency [0] 4 23" xfId="1113" xr:uid="{9F022196-D7FA-4C2C-A18A-8485CBD1F047}"/>
    <cellStyle name="Currency [0] 4 24" xfId="1114" xr:uid="{F29F25C7-913C-4D34-AF26-803A887F828F}"/>
    <cellStyle name="Currency [0] 4 25" xfId="1115" xr:uid="{3AE62297-E5DB-4901-81E6-A1CF1A2EEED1}"/>
    <cellStyle name="Currency [0] 4 26" xfId="1116" xr:uid="{92876541-5514-4FFE-8B29-ADCF36BBC362}"/>
    <cellStyle name="Currency [0] 4 27" xfId="1117" xr:uid="{1531D904-A996-4023-8920-5B10FA24D105}"/>
    <cellStyle name="Currency [0] 4 28" xfId="1118" xr:uid="{172F0CE7-47C0-4FF5-B295-78D81B211B0B}"/>
    <cellStyle name="Currency [0] 4 29" xfId="1119" xr:uid="{934E43E3-70B9-478F-8AEC-541344AF0732}"/>
    <cellStyle name="Currency [0] 4 3" xfId="1120" xr:uid="{D7EB47B5-B23C-4240-8613-C0DA0A78B790}"/>
    <cellStyle name="Currency [0] 4 30" xfId="1121" xr:uid="{6C1AD0BE-CFEA-48F6-9878-A426889D35E5}"/>
    <cellStyle name="Currency [0] 4 31" xfId="1122" xr:uid="{5DFB1B8B-EEE2-4A29-A6E5-1DA176168FC9}"/>
    <cellStyle name="Currency [0] 4 32" xfId="1123" xr:uid="{261CC8D8-6FF0-4872-8EB6-A015E55D0F04}"/>
    <cellStyle name="Currency [0] 4 33" xfId="1124" xr:uid="{1A8EA0B9-53D5-43A9-A6A5-C6E43DD61613}"/>
    <cellStyle name="Currency [0] 4 34" xfId="1125" xr:uid="{727F157C-4AB1-4E7B-8D12-5F6E3F259FDC}"/>
    <cellStyle name="Currency [0] 4 35" xfId="1126" xr:uid="{0DD1EABA-A49C-4931-82D3-899DE1A4C38B}"/>
    <cellStyle name="Currency [0] 4 36" xfId="1127" xr:uid="{48ECA5EA-25E5-4847-918C-FF42A51D1709}"/>
    <cellStyle name="Currency [0] 4 37" xfId="1128" xr:uid="{3B5C2B32-EF01-4FAA-8953-8783C81BFCE4}"/>
    <cellStyle name="Currency [0] 4 38" xfId="1129" xr:uid="{812BBDC0-15D3-45EF-B8AE-BE3D87E1768A}"/>
    <cellStyle name="Currency [0] 4 39" xfId="1130" xr:uid="{08E1BBDC-6DEE-453E-A61B-6943E0CEC01E}"/>
    <cellStyle name="Currency [0] 4 4" xfId="1131" xr:uid="{A681EDE2-B617-4BF3-A4B6-5926DCF20E9A}"/>
    <cellStyle name="Currency [0] 4 40" xfId="1132" xr:uid="{D792733C-42AB-4F4E-9D87-E1C7BCE6E5CF}"/>
    <cellStyle name="Currency [0] 4 41" xfId="1133" xr:uid="{A2AF20D6-25F1-4672-8080-2F274BC99FFA}"/>
    <cellStyle name="Currency [0] 4 42" xfId="1134" xr:uid="{71DFEC03-8E16-4FED-AACC-37C1280390A0}"/>
    <cellStyle name="Currency [0] 4 43" xfId="1135" xr:uid="{3D75F2BF-7965-4682-AA90-FF9AAFDC2E54}"/>
    <cellStyle name="Currency [0] 4 44" xfId="1136" xr:uid="{0F3E2EE2-8890-4B3D-BD2C-3479176383AF}"/>
    <cellStyle name="Currency [0] 4 45" xfId="1137" xr:uid="{A0528BAC-FCEC-46DA-A6FE-8714442AAE59}"/>
    <cellStyle name="Currency [0] 4 46" xfId="1138" xr:uid="{C5E2D411-D791-4F6C-B4B8-D41A82913BAB}"/>
    <cellStyle name="Currency [0] 4 47" xfId="1139" xr:uid="{D4DEA426-0523-436A-A726-49D53DE3C9EE}"/>
    <cellStyle name="Currency [0] 4 48" xfId="1140" xr:uid="{7E1EC44B-2DE0-41BD-AA26-076C87C7B520}"/>
    <cellStyle name="Currency [0] 4 49" xfId="1141" xr:uid="{2CE05D1E-DF4C-462F-87F7-3872265ABE89}"/>
    <cellStyle name="Currency [0] 4 5" xfId="1142" xr:uid="{45A50F58-4885-43A8-A4A3-52760A08A947}"/>
    <cellStyle name="Currency [0] 4 50" xfId="1143" xr:uid="{E0B6209E-2022-4903-975F-ACBBE7F74D8F}"/>
    <cellStyle name="Currency [0] 4 51" xfId="1144" xr:uid="{7791DDB3-0CBA-4BF2-A8A2-9BC8D103D302}"/>
    <cellStyle name="Currency [0] 4 52" xfId="1145" xr:uid="{A04C099D-9E3E-4346-80A4-6F5EF614FF9A}"/>
    <cellStyle name="Currency [0] 4 53" xfId="1146" xr:uid="{946F77C5-5E32-4B40-94EF-DCCD6168BCC2}"/>
    <cellStyle name="Currency [0] 4 54" xfId="1147" xr:uid="{2829BF83-45D8-4871-9ABE-6B0D59667FE5}"/>
    <cellStyle name="Currency [0] 4 55" xfId="1148" xr:uid="{BEDEBEF2-570D-465C-9675-34B04BEB02B3}"/>
    <cellStyle name="Currency [0] 4 56" xfId="1149" xr:uid="{1642099C-391E-440C-821D-EF8A21E9ADA0}"/>
    <cellStyle name="Currency [0] 4 57" xfId="1150" xr:uid="{ADB8A52E-8FC8-4433-946A-176EBBD35059}"/>
    <cellStyle name="Currency [0] 4 58" xfId="1151" xr:uid="{5F215609-1867-4330-8CAA-E3E7AEFC4A07}"/>
    <cellStyle name="Currency [0] 4 59" xfId="1152" xr:uid="{90A2CF62-F741-4506-8D54-3B29633B0896}"/>
    <cellStyle name="Currency [0] 4 6" xfId="1153" xr:uid="{8707C42B-06F4-4D42-B48A-4BE7802218A9}"/>
    <cellStyle name="Currency [0] 4 60" xfId="1154" xr:uid="{465483D7-8323-47A6-B006-5074C3F94408}"/>
    <cellStyle name="Currency [0] 4 61" xfId="1155" xr:uid="{F85BE324-7457-46F6-BB9F-4B526461D28C}"/>
    <cellStyle name="Currency [0] 4 62" xfId="1156" xr:uid="{375AC82B-C48F-42F4-8197-1C4761C8A031}"/>
    <cellStyle name="Currency [0] 4 63" xfId="1157" xr:uid="{9DCB0E26-66B6-44E2-9726-EA35FFA3E103}"/>
    <cellStyle name="Currency [0] 4 7" xfId="1158" xr:uid="{32EB88A1-6305-404E-BDAA-67378FEE4607}"/>
    <cellStyle name="Currency [0] 4 8" xfId="1159" xr:uid="{881BE85B-BF9A-4CB2-8359-E0805522F733}"/>
    <cellStyle name="Currency [0] 4 9" xfId="1160" xr:uid="{B9A7A01B-3715-4C1D-8EAF-BD84C3EE45F7}"/>
    <cellStyle name="Currency [0] 5" xfId="1161" xr:uid="{2CF034C4-78E1-4371-9B75-A4D73FFA8E63}"/>
    <cellStyle name="Currency [0] 5 10" xfId="1162" xr:uid="{BABCB681-EAAA-400C-A738-F6E3320BAC50}"/>
    <cellStyle name="Currency [0] 5 11" xfId="1163" xr:uid="{C100DCC0-D7CA-4137-B242-85089F98E19B}"/>
    <cellStyle name="Currency [0] 5 12" xfId="1164" xr:uid="{EB3DA82B-ED35-4BF1-981D-F7C078FEC5CF}"/>
    <cellStyle name="Currency [0] 5 13" xfId="1165" xr:uid="{5949F6C1-1EB2-4F0E-82CF-D438F93B0643}"/>
    <cellStyle name="Currency [0] 5 14" xfId="1166" xr:uid="{3B272A1C-E7F8-4891-851A-2623F41A42C6}"/>
    <cellStyle name="Currency [0] 5 15" xfId="1167" xr:uid="{5ACB2939-69C2-48DA-B150-172780211B9D}"/>
    <cellStyle name="Currency [0] 5 16" xfId="1168" xr:uid="{89952F80-8F82-45EE-9927-AA1C733A926B}"/>
    <cellStyle name="Currency [0] 5 17" xfId="1169" xr:uid="{84547F60-9E6A-4CFA-AD08-F83DCB0ADC97}"/>
    <cellStyle name="Currency [0] 5 18" xfId="1170" xr:uid="{DEA2712B-5A03-4831-B35B-CB2110F45F14}"/>
    <cellStyle name="Currency [0] 5 19" xfId="1171" xr:uid="{CD692FF4-00BB-490A-A040-6E6361E728C5}"/>
    <cellStyle name="Currency [0] 5 2" xfId="1172" xr:uid="{4E9B7856-ED9D-48CA-8EFA-C4AF3C2A05BC}"/>
    <cellStyle name="Currency [0] 5 20" xfId="1173" xr:uid="{725F8580-030C-407A-B657-6C0ED4543862}"/>
    <cellStyle name="Currency [0] 5 21" xfId="1174" xr:uid="{C59BEBA3-C80D-42BA-A37B-7289DC295B57}"/>
    <cellStyle name="Currency [0] 5 22" xfId="1175" xr:uid="{4B818E33-C0C6-4CBD-9904-2F54BA678D33}"/>
    <cellStyle name="Currency [0] 5 23" xfId="1176" xr:uid="{8201BCC4-0C88-427E-BDDB-39DEFAA34CFA}"/>
    <cellStyle name="Currency [0] 5 24" xfId="1177" xr:uid="{6D013221-187B-40D1-8A69-1EAAC63EC9C3}"/>
    <cellStyle name="Currency [0] 5 25" xfId="1178" xr:uid="{D4B5D37A-4E7A-489B-8A05-DBBA45B6D85C}"/>
    <cellStyle name="Currency [0] 5 26" xfId="1179" xr:uid="{C604E8E2-BD7F-446C-BF1F-1E783EE688C5}"/>
    <cellStyle name="Currency [0] 5 27" xfId="1180" xr:uid="{48587AC3-A7B5-4B5A-9F52-DE27FA7B6757}"/>
    <cellStyle name="Currency [0] 5 28" xfId="1181" xr:uid="{68CB2427-5252-4EB7-B9B5-C40C681CA72F}"/>
    <cellStyle name="Currency [0] 5 29" xfId="1182" xr:uid="{402ED468-7A0F-431B-8711-04E9D29678CA}"/>
    <cellStyle name="Currency [0] 5 3" xfId="1183" xr:uid="{D8CF411F-402C-403F-93FA-FDF2F6CADDAD}"/>
    <cellStyle name="Currency [0] 5 3 10" xfId="1184" xr:uid="{BFFAE256-DEE1-485C-9F4D-C2520BB4A5F9}"/>
    <cellStyle name="Currency [0] 5 3 11" xfId="1185" xr:uid="{08BD384E-DFFE-4505-8985-AFB9CD7F54A6}"/>
    <cellStyle name="Currency [0] 5 3 12" xfId="1186" xr:uid="{868DB069-F1C5-4FEA-8D58-12A8E63F80E0}"/>
    <cellStyle name="Currency [0] 5 3 13" xfId="1187" xr:uid="{2B70F836-0C43-429E-9D7C-879240D53C3C}"/>
    <cellStyle name="Currency [0] 5 3 14" xfId="1188" xr:uid="{607FFEC9-C783-4813-8166-D22FE4DA0F73}"/>
    <cellStyle name="Currency [0] 5 3 15" xfId="1189" xr:uid="{DE666A8B-7F41-42D5-9B8B-7B5DFAC28871}"/>
    <cellStyle name="Currency [0] 5 3 16" xfId="1190" xr:uid="{2740C26F-6C0A-4818-8798-3AD9F3886F79}"/>
    <cellStyle name="Currency [0] 5 3 17" xfId="1191" xr:uid="{D5983AF4-52DA-4D53-AF42-4EF0ABFAFE3E}"/>
    <cellStyle name="Currency [0] 5 3 18" xfId="1192" xr:uid="{465E0C7A-70A3-4C92-901C-D97FDBE9FB50}"/>
    <cellStyle name="Currency [0] 5 3 19" xfId="1193" xr:uid="{4D56E616-EA23-47BF-8113-F2075A793731}"/>
    <cellStyle name="Currency [0] 5 3 2" xfId="1194" xr:uid="{9D904DCD-350F-44C4-963E-2562EB548747}"/>
    <cellStyle name="Currency [0] 5 3 20" xfId="1195" xr:uid="{5E8CC487-7E16-4284-B5F2-F02ED2F669A1}"/>
    <cellStyle name="Currency [0] 5 3 21" xfId="1196" xr:uid="{E56DCE71-840B-44BE-B743-015AA3F9645D}"/>
    <cellStyle name="Currency [0] 5 3 22" xfId="1197" xr:uid="{47B4F0EA-7CAE-4C8C-8F26-F86CC0C596AB}"/>
    <cellStyle name="Currency [0] 5 3 23" xfId="1198" xr:uid="{C04B7330-8BFC-4EAB-849C-99667327E0B3}"/>
    <cellStyle name="Currency [0] 5 3 24" xfId="1199" xr:uid="{C13F3D92-C7F6-4847-A0FF-4F935FB7CB14}"/>
    <cellStyle name="Currency [0] 5 3 25" xfId="1200" xr:uid="{5824A9E9-84DA-4F53-9773-BBA8706341BB}"/>
    <cellStyle name="Currency [0] 5 3 26" xfId="1201" xr:uid="{54890193-9722-4733-8FA1-1D71D2AE9EDC}"/>
    <cellStyle name="Currency [0] 5 3 3" xfId="1202" xr:uid="{ACEBBC2C-FEB3-41A2-9472-417054FFA462}"/>
    <cellStyle name="Currency [0] 5 3 4" xfId="1203" xr:uid="{B122B6D7-0626-4630-9A61-0AB11C214464}"/>
    <cellStyle name="Currency [0] 5 3 5" xfId="1204" xr:uid="{D1467D61-5F0A-4C67-A905-E7BF559E001D}"/>
    <cellStyle name="Currency [0] 5 3 6" xfId="1205" xr:uid="{E1E6DEA4-97F4-4818-9ED2-594D314A09EB}"/>
    <cellStyle name="Currency [0] 5 3 7" xfId="1206" xr:uid="{90227CFD-CD66-4438-929F-5C19FDBBD87B}"/>
    <cellStyle name="Currency [0] 5 3 8" xfId="1207" xr:uid="{9AE3EEDB-293C-42B0-A31A-D8FCD56DBACF}"/>
    <cellStyle name="Currency [0] 5 3 9" xfId="1208" xr:uid="{A1D0D33E-A281-48F7-B1DB-7C9881C42BAE}"/>
    <cellStyle name="Currency [0] 5 30" xfId="1209" xr:uid="{E2140E78-37DF-415F-B5B5-0B81505A0D68}"/>
    <cellStyle name="Currency [0] 5 31" xfId="1210" xr:uid="{93BF364D-1BFA-46EA-8F07-E06E1B85E57B}"/>
    <cellStyle name="Currency [0] 5 32" xfId="1211" xr:uid="{AC2E37B7-9AA5-4D2F-8B5C-7636B413B3C4}"/>
    <cellStyle name="Currency [0] 5 33" xfId="1212" xr:uid="{C51B99F8-E2C3-4021-8413-15D5912C88F6}"/>
    <cellStyle name="Currency [0] 5 34" xfId="1213" xr:uid="{EE1E3EA7-8C4F-4063-B1B0-BDDC4534BAC5}"/>
    <cellStyle name="Currency [0] 5 35" xfId="1214" xr:uid="{09F86D2B-0924-470D-B421-CE6384D86117}"/>
    <cellStyle name="Currency [0] 5 36" xfId="1215" xr:uid="{D650E35A-9783-4938-9D1A-F9A84212A937}"/>
    <cellStyle name="Currency [0] 5 37" xfId="1216" xr:uid="{9484CA24-FA72-4FFB-9509-2284D82B80AB}"/>
    <cellStyle name="Currency [0] 5 38" xfId="1217" xr:uid="{F37B0A8B-8EB7-4E37-9E57-ADE510E4CF1A}"/>
    <cellStyle name="Currency [0] 5 39" xfId="1218" xr:uid="{56EC9A97-6F30-4243-B092-42929B70A43B}"/>
    <cellStyle name="Currency [0] 5 4" xfId="1219" xr:uid="{FCFA58EC-335D-49E4-BD90-2EF3C2BB6BBB}"/>
    <cellStyle name="Currency [0] 5 40" xfId="1220" xr:uid="{65CFC7B5-5D0B-4AC0-838A-C1DF68278C42}"/>
    <cellStyle name="Currency [0] 5 41" xfId="1221" xr:uid="{D87BB7CE-8B79-49B6-82E0-83E3CB69DA3F}"/>
    <cellStyle name="Currency [0] 5 42" xfId="1222" xr:uid="{989A9265-70E5-4CC0-AF16-BF27597A389B}"/>
    <cellStyle name="Currency [0] 5 43" xfId="1223" xr:uid="{3BAF479D-1DCC-4AFD-BDCE-5284D91BFCEA}"/>
    <cellStyle name="Currency [0] 5 44" xfId="1224" xr:uid="{58C8D229-035D-49E2-8ECF-A0429E11C800}"/>
    <cellStyle name="Currency [0] 5 45" xfId="1225" xr:uid="{75FB51C3-6CA7-42D8-9C8F-3A8B5CDD9226}"/>
    <cellStyle name="Currency [0] 5 46" xfId="1226" xr:uid="{AE8B009B-ECC7-4CD1-9608-50BB1B28B8A4}"/>
    <cellStyle name="Currency [0] 5 47" xfId="1227" xr:uid="{D973FFDD-8E29-4DF6-8E21-EAC2117EA39C}"/>
    <cellStyle name="Currency [0] 5 48" xfId="1228" xr:uid="{EADF9AEB-9A78-4C56-B429-C73A9E2D254F}"/>
    <cellStyle name="Currency [0] 5 49" xfId="1229" xr:uid="{39E431F9-D0A9-4502-A2D7-6C8423BB1A5A}"/>
    <cellStyle name="Currency [0] 5 5" xfId="1230" xr:uid="{5BA1152A-51C1-43B3-8876-479529B1543F}"/>
    <cellStyle name="Currency [0] 5 5 10" xfId="1231" xr:uid="{9D58CEDD-D423-42BD-84A0-6535312DE94B}"/>
    <cellStyle name="Currency [0] 5 5 11" xfId="1232" xr:uid="{6E67D2F1-D23E-4FC0-862B-0E3A26D89FAF}"/>
    <cellStyle name="Currency [0] 5 5 12" xfId="1233" xr:uid="{15C08A24-082F-4BC2-84DA-9D2366EB881A}"/>
    <cellStyle name="Currency [0] 5 5 13" xfId="1234" xr:uid="{BA31DA1B-94FC-4384-ADFF-85D68E207AE0}"/>
    <cellStyle name="Currency [0] 5 5 14" xfId="1235" xr:uid="{A0A9D4C3-51A6-4329-81BF-78DCE36654C5}"/>
    <cellStyle name="Currency [0] 5 5 15" xfId="1236" xr:uid="{CCC433D5-93E4-483E-9B62-421F31D9771B}"/>
    <cellStyle name="Currency [0] 5 5 16" xfId="1237" xr:uid="{806B95A1-5F95-43B0-917A-66B0EA5544CB}"/>
    <cellStyle name="Currency [0] 5 5 17" xfId="1238" xr:uid="{B80D7F7A-8B50-4153-8DC4-7985625ABA42}"/>
    <cellStyle name="Currency [0] 5 5 18" xfId="1239" xr:uid="{ED872F84-0B82-4AF1-846B-6563939EE700}"/>
    <cellStyle name="Currency [0] 5 5 19" xfId="1240" xr:uid="{F089EAC2-8E15-45F9-A3D5-C970054036B3}"/>
    <cellStyle name="Currency [0] 5 5 2" xfId="1241" xr:uid="{4D72254A-7F92-4C1C-99C0-DB8372E23261}"/>
    <cellStyle name="Currency [0] 5 5 20" xfId="1242" xr:uid="{AF08A9F0-764C-4FE1-A0ED-F8CAA91539C5}"/>
    <cellStyle name="Currency [0] 5 5 21" xfId="1243" xr:uid="{FC4883C4-C539-4B53-8B7A-61795C5B5DF8}"/>
    <cellStyle name="Currency [0] 5 5 22" xfId="1244" xr:uid="{464A587F-8FA0-40E8-8089-89FC5577703A}"/>
    <cellStyle name="Currency [0] 5 5 23" xfId="1245" xr:uid="{82767F6C-0EBD-466E-9F90-5A4789D0E83F}"/>
    <cellStyle name="Currency [0] 5 5 24" xfId="1246" xr:uid="{B636C6E6-6EE0-4047-8594-397FC97FC791}"/>
    <cellStyle name="Currency [0] 5 5 25" xfId="1247" xr:uid="{03BCC174-F317-4EAE-BA9F-4E0707DF3FB5}"/>
    <cellStyle name="Currency [0] 5 5 26" xfId="1248" xr:uid="{72B2A058-3438-4CBF-AFCC-C20E597FAC05}"/>
    <cellStyle name="Currency [0] 5 5 27" xfId="1249" xr:uid="{A6A28859-9DA1-4E55-8205-E0388EEAC597}"/>
    <cellStyle name="Currency [0] 5 5 28" xfId="1250" xr:uid="{D422377A-AE6F-43B0-910F-AC7B79C51AFF}"/>
    <cellStyle name="Currency [0] 5 5 29" xfId="1251" xr:uid="{EB1F36DE-B29D-40C8-8BF9-913DA80BF9A9}"/>
    <cellStyle name="Currency [0] 5 5 3" xfId="1252" xr:uid="{A2A506C9-A90A-4DC4-BC3C-B879E7358F91}"/>
    <cellStyle name="Currency [0] 5 5 30" xfId="1253" xr:uid="{642CBE0F-6027-4F83-B373-2F97942EDB43}"/>
    <cellStyle name="Currency [0] 5 5 31" xfId="1254" xr:uid="{9E0E1BB8-0B8E-454A-A0CE-7582A243D3CD}"/>
    <cellStyle name="Currency [0] 5 5 32" xfId="1255" xr:uid="{0805982B-5284-405D-8945-FCBC3CB895AB}"/>
    <cellStyle name="Currency [0] 5 5 33" xfId="1256" xr:uid="{A6797EAF-04E1-4136-9549-E4C7748C43FB}"/>
    <cellStyle name="Currency [0] 5 5 34" xfId="1257" xr:uid="{E4768864-69A0-44D8-855B-3D4DABC801DD}"/>
    <cellStyle name="Currency [0] 5 5 35" xfId="1258" xr:uid="{EA5AC648-EA70-4103-BB7B-16064E0C25BE}"/>
    <cellStyle name="Currency [0] 5 5 36" xfId="1259" xr:uid="{3787C6B5-B030-4059-9485-3D08BA841039}"/>
    <cellStyle name="Currency [0] 5 5 37" xfId="1260" xr:uid="{26A4405A-2928-4432-AF3F-A0F9C154E4DB}"/>
    <cellStyle name="Currency [0] 5 5 38" xfId="1261" xr:uid="{EC990A4D-D351-4280-B5E9-343CD41B60DC}"/>
    <cellStyle name="Currency [0] 5 5 39" xfId="1262" xr:uid="{33D5D229-31EB-471E-990F-F23ED675A719}"/>
    <cellStyle name="Currency [0] 5 5 4" xfId="1263" xr:uid="{B0F540EF-F6E7-4E95-BB51-FC74C2DFCD87}"/>
    <cellStyle name="Currency [0] 5 5 40" xfId="1264" xr:uid="{23F7C70D-D360-4A47-AEB4-8932E3FE8594}"/>
    <cellStyle name="Currency [0] 5 5 41" xfId="1265" xr:uid="{FC7A4D84-B8F2-49F3-A700-733E2E84502C}"/>
    <cellStyle name="Currency [0] 5 5 42" xfId="1266" xr:uid="{E38280EE-4400-4411-B8BD-FCABF98A392F}"/>
    <cellStyle name="Currency [0] 5 5 43" xfId="1267" xr:uid="{91882D9F-2F2E-49A4-86B9-E195864710AA}"/>
    <cellStyle name="Currency [0] 5 5 44" xfId="1268" xr:uid="{75DB3336-4A41-4347-B3FB-DAE70D95D3CB}"/>
    <cellStyle name="Currency [0] 5 5 45" xfId="1269" xr:uid="{3F8B8804-26A7-4EC7-9DCB-CB78D29268F3}"/>
    <cellStyle name="Currency [0] 5 5 46" xfId="1270" xr:uid="{FD4FB59A-B55D-4766-B7AE-D3454A60B5E9}"/>
    <cellStyle name="Currency [0] 5 5 47" xfId="1271" xr:uid="{D4826FF8-B15D-40B6-BECE-BFC116556EE1}"/>
    <cellStyle name="Currency [0] 5 5 48" xfId="1272" xr:uid="{8E5E281C-3EEB-4FFE-A5EE-6189305A1540}"/>
    <cellStyle name="Currency [0] 5 5 49" xfId="1273" xr:uid="{6D090AC1-EA53-4104-BE97-E82CD6E5ACC7}"/>
    <cellStyle name="Currency [0] 5 5 5" xfId="1274" xr:uid="{97A545D1-DB9B-4010-A717-279F08AE3555}"/>
    <cellStyle name="Currency [0] 5 5 50" xfId="1275" xr:uid="{0F63B5C0-381C-45DB-A213-F201B493AD2D}"/>
    <cellStyle name="Currency [0] 5 5 51" xfId="1276" xr:uid="{8F596CC8-5BC5-4DBC-B272-B471B743317C}"/>
    <cellStyle name="Currency [0] 5 5 52" xfId="1277" xr:uid="{C91B493D-ED69-46C8-93B3-9BCABE7574F3}"/>
    <cellStyle name="Currency [0] 5 5 53" xfId="1278" xr:uid="{9E1F83A6-D4A1-4D2F-8E91-C697C5E76F0A}"/>
    <cellStyle name="Currency [0] 5 5 54" xfId="1279" xr:uid="{3CFF676E-2F8F-4CE4-8E92-86D0568FD3B1}"/>
    <cellStyle name="Currency [0] 5 5 55" xfId="1280" xr:uid="{5B41850F-DCD7-4B08-8388-5F06DAD46134}"/>
    <cellStyle name="Currency [0] 5 5 56" xfId="1281" xr:uid="{7B9B3E8A-3CC9-42FD-8206-2F1D7B903FC9}"/>
    <cellStyle name="Currency [0] 5 5 57" xfId="1282" xr:uid="{68823FA9-7513-4C0D-9DE6-BEBCB5669A5A}"/>
    <cellStyle name="Currency [0] 5 5 58" xfId="1283" xr:uid="{F253B7AA-BC53-472E-9FBE-8AAE889E4869}"/>
    <cellStyle name="Currency [0] 5 5 59" xfId="1284" xr:uid="{B0189DAE-0105-4D38-80B0-276BF0132F83}"/>
    <cellStyle name="Currency [0] 5 5 6" xfId="1285" xr:uid="{F9AAD9C6-3CA2-49E0-8A0C-B0E3FBFACA4E}"/>
    <cellStyle name="Currency [0] 5 5 60" xfId="1286" xr:uid="{172F5212-B745-4BE2-BA48-D4C9BD93950D}"/>
    <cellStyle name="Currency [0] 5 5 61" xfId="1287" xr:uid="{BB41ED86-78DD-4AFC-B1EA-7DEF02AE552D}"/>
    <cellStyle name="Currency [0] 5 5 62" xfId="1288" xr:uid="{BECF3063-D61B-4CE0-BFEB-1ABF3797871F}"/>
    <cellStyle name="Currency [0] 5 5 63" xfId="1289" xr:uid="{5D7461E6-E5F1-412F-87CB-FE945210A348}"/>
    <cellStyle name="Currency [0] 5 5 64" xfId="1290" xr:uid="{A1F87520-D481-4B13-A0B4-96EB2988B756}"/>
    <cellStyle name="Currency [0] 5 5 65" xfId="1291" xr:uid="{26EBFDD1-106A-46D5-95E9-6BC48BAE82D7}"/>
    <cellStyle name="Currency [0] 5 5 66" xfId="1292" xr:uid="{6A3DF4D6-2507-4198-81D8-F7D3D4E00D74}"/>
    <cellStyle name="Currency [0] 5 5 67" xfId="1293" xr:uid="{5E33EE73-81FF-443D-94C7-C5FE40009F1F}"/>
    <cellStyle name="Currency [0] 5 5 68" xfId="1294" xr:uid="{2E9FB703-7456-4AD2-9D76-1D878C2962E8}"/>
    <cellStyle name="Currency [0] 5 5 69" xfId="1295" xr:uid="{637EDF69-7919-4E1F-B896-C2B89B2D6ECE}"/>
    <cellStyle name="Currency [0] 5 5 7" xfId="1296" xr:uid="{7DD6ADBB-132C-4C49-A74F-B109D4E0F286}"/>
    <cellStyle name="Currency [0] 5 5 70" xfId="1297" xr:uid="{C821FE99-F898-4375-AB38-7A6876A9C93E}"/>
    <cellStyle name="Currency [0] 5 5 71" xfId="1298" xr:uid="{87A6E390-0C22-41DB-B23B-4EDBFBD03327}"/>
    <cellStyle name="Currency [0] 5 5 8" xfId="1299" xr:uid="{B2A7D495-2D5E-482B-B116-A29E6437FCE8}"/>
    <cellStyle name="Currency [0] 5 5 9" xfId="1300" xr:uid="{F63311D6-7E36-485F-9933-9675151A8908}"/>
    <cellStyle name="Currency [0] 5 50" xfId="1301" xr:uid="{1BF0B526-539C-47AE-A9F7-CD99BBA8B0BC}"/>
    <cellStyle name="Currency [0] 5 51" xfId="1302" xr:uid="{7BC36367-A090-4D05-B54C-9CB662D600A4}"/>
    <cellStyle name="Currency [0] 5 52" xfId="1303" xr:uid="{3EE3AAC3-9795-47D1-B14A-C8B37CB3BB0B}"/>
    <cellStyle name="Currency [0] 5 53" xfId="1304" xr:uid="{A8C6249E-0F24-4E39-B1D2-6CCD1CCF4C1B}"/>
    <cellStyle name="Currency [0] 5 54" xfId="1305" xr:uid="{622FDABA-D42B-4BA6-9CA3-1A5A33EF4499}"/>
    <cellStyle name="Currency [0] 5 55" xfId="1306" xr:uid="{9F27438C-5433-4259-8F4B-FDE8E4EE0D00}"/>
    <cellStyle name="Currency [0] 5 56" xfId="1307" xr:uid="{1454D6BB-C9F8-4BC2-9196-E0C8554437DB}"/>
    <cellStyle name="Currency [0] 5 57" xfId="1308" xr:uid="{B9548BF4-03A2-47DB-AAEE-6D33EA5B0221}"/>
    <cellStyle name="Currency [0] 5 58" xfId="1309" xr:uid="{64986132-2CCC-4966-8A9B-A2D4225B819F}"/>
    <cellStyle name="Currency [0] 5 59" xfId="1310" xr:uid="{966C9323-FC01-4343-9D4A-9DD400AD6931}"/>
    <cellStyle name="Currency [0] 5 6" xfId="1311" xr:uid="{E4FE4522-9A6A-4DA3-A857-F864FEF1D342}"/>
    <cellStyle name="Currency [0] 5 60" xfId="1312" xr:uid="{2E60FD8F-1655-4E64-9E45-15D2CF5281B4}"/>
    <cellStyle name="Currency [0] 5 60 2" xfId="1313" xr:uid="{F39E5C24-CBCD-43DF-8F76-2D20C0C065E8}"/>
    <cellStyle name="Currency [0] 5 60 3" xfId="1314" xr:uid="{2101E1DF-65C3-4ECF-935C-DE2ECB652489}"/>
    <cellStyle name="Currency [0] 5 60 3 2" xfId="1315" xr:uid="{46F1DBBF-4615-4F9F-A6CE-533F6B31BFCC}"/>
    <cellStyle name="Currency [0] 5 61" xfId="1316" xr:uid="{EC9AB7C6-5683-407F-A990-6D87C33B6EF4}"/>
    <cellStyle name="Currency [0] 5 62" xfId="1317" xr:uid="{7237808C-4002-40AE-AFC7-1BFD23A9B37E}"/>
    <cellStyle name="Currency [0] 5 63" xfId="1318" xr:uid="{48896DA4-5FF6-4836-BB4B-AB941FE50B4B}"/>
    <cellStyle name="Currency [0] 5 64" xfId="1319" xr:uid="{C79610EE-F6E3-47BC-BC20-A23313F37A73}"/>
    <cellStyle name="Currency [0] 5 65" xfId="1320" xr:uid="{085766FC-9DE7-433A-BBDB-A4C2624A6A16}"/>
    <cellStyle name="Currency [0] 5 66" xfId="1321" xr:uid="{BDEE9301-8390-4F8A-A049-8B2C579044E5}"/>
    <cellStyle name="Currency [0] 5 67" xfId="1322" xr:uid="{F5F746C9-C1D5-46F2-831B-3B48A4207E7B}"/>
    <cellStyle name="Currency [0] 5 68" xfId="1323" xr:uid="{97817BC8-F436-4A79-A4F9-960E7482549B}"/>
    <cellStyle name="Currency [0] 5 69" xfId="1324" xr:uid="{31B15508-78BF-4BF8-8B4C-A984A2B7AAF4}"/>
    <cellStyle name="Currency [0] 5 7" xfId="1325" xr:uid="{C5F519D8-0C13-439D-94B7-E2C853C587F1}"/>
    <cellStyle name="Currency [0] 5 70" xfId="1326" xr:uid="{680B21A4-3368-4B0F-8037-7D426A0208C4}"/>
    <cellStyle name="Currency [0] 5 71" xfId="1327" xr:uid="{B86F8714-1848-4B6D-A926-35A617601282}"/>
    <cellStyle name="Currency [0] 5 72" xfId="1328" xr:uid="{2E660A92-C91F-4AFC-BBF8-B90AD094D741}"/>
    <cellStyle name="Currency [0] 5 73" xfId="1329" xr:uid="{F6877B74-FBF8-478C-8640-EF89F8C50EE5}"/>
    <cellStyle name="Currency [0] 5 74" xfId="1330" xr:uid="{A9C9F108-4756-40B7-AC86-5241005213E5}"/>
    <cellStyle name="Currency [0] 5 8" xfId="1331" xr:uid="{7D8B231A-0EE0-428E-9CB4-A46EAA61D1EC}"/>
    <cellStyle name="Currency [0] 5 9" xfId="1332" xr:uid="{B304F829-92E2-40DB-8696-E5DFF7837104}"/>
    <cellStyle name="Currency 10" xfId="9" xr:uid="{00000000-0005-0000-0000-000006000000}"/>
    <cellStyle name="Currency 10 10" xfId="1333" xr:uid="{BEB2F54B-661C-42F6-9CB2-711075DB2874}"/>
    <cellStyle name="Currency 10 11" xfId="1334" xr:uid="{CA36990F-081B-4B46-BF64-F957C3C37A99}"/>
    <cellStyle name="Currency 10 12" xfId="1335" xr:uid="{825D7BF6-5279-40E7-B15D-21BD25BCBCB6}"/>
    <cellStyle name="Currency 10 13" xfId="1336" xr:uid="{88DC2A3E-17FF-42CE-B026-5B181CE19E87}"/>
    <cellStyle name="Currency 10 14" xfId="1337" xr:uid="{E2A6EBCF-4477-49E5-B684-901B179CCA9D}"/>
    <cellStyle name="Currency 10 15" xfId="1338" xr:uid="{85CC1B28-35A3-4074-B242-430056A1CC03}"/>
    <cellStyle name="Currency 10 16" xfId="1339" xr:uid="{609C0C51-A082-45D7-9E66-74356AB43833}"/>
    <cellStyle name="Currency 10 17" xfId="1340" xr:uid="{70E9B4EA-A455-4A9D-ADDF-710A25C4A759}"/>
    <cellStyle name="Currency 10 18" xfId="1341" xr:uid="{42461D13-56FD-4760-984E-98AA305EA196}"/>
    <cellStyle name="Currency 10 19" xfId="1342" xr:uid="{1032D8B8-9614-4219-A8A2-FA649ABAFD31}"/>
    <cellStyle name="Currency 10 2" xfId="1343" xr:uid="{95D9C4CC-4374-431E-B208-6A4A1C40AF90}"/>
    <cellStyle name="Currency 10 20" xfId="1344" xr:uid="{E687A2D9-BBB9-4F87-8F3E-0219803F71CA}"/>
    <cellStyle name="Currency 10 21" xfId="1345" xr:uid="{F58E4556-C4ED-4310-9E6D-74B0834C81B1}"/>
    <cellStyle name="Currency 10 22" xfId="1346" xr:uid="{666474F6-0124-4602-8783-C67390AA5E54}"/>
    <cellStyle name="Currency 10 23" xfId="1347" xr:uid="{6E728407-5306-40FE-A5BF-BEA63CB34A25}"/>
    <cellStyle name="Currency 10 24" xfId="1348" xr:uid="{7789390E-8A61-4CA9-80AF-FDAA9BBA9632}"/>
    <cellStyle name="Currency 10 25" xfId="1349" xr:uid="{87FEA40C-75CD-48C5-B5FB-FCB59570E4DE}"/>
    <cellStyle name="Currency 10 26" xfId="1350" xr:uid="{14A12B6E-D4E5-4CD6-9CA5-8F065F89F591}"/>
    <cellStyle name="Currency 10 27" xfId="1351" xr:uid="{724DCE2F-D927-4D2F-A57E-6B2D4E1802D3}"/>
    <cellStyle name="Currency 10 28" xfId="1352" xr:uid="{EDDBA9BA-46DB-4649-BD72-112730BAE182}"/>
    <cellStyle name="Currency 10 29" xfId="1353" xr:uid="{D340447F-4057-46DF-8D49-BDBC624F370D}"/>
    <cellStyle name="Currency 10 3" xfId="1354" xr:uid="{DC811832-602D-43CA-AC67-B106F63E7FA6}"/>
    <cellStyle name="Currency 10 3 10" xfId="1355" xr:uid="{60518436-B78F-4F44-BC7B-1ADF92449A01}"/>
    <cellStyle name="Currency 10 3 11" xfId="1356" xr:uid="{4341B2DB-0BD8-4074-A009-2DB97FDDE3B3}"/>
    <cellStyle name="Currency 10 3 12" xfId="1357" xr:uid="{CEEB7861-CCD7-40A2-BDE3-DE9C8DF4A692}"/>
    <cellStyle name="Currency 10 3 13" xfId="1358" xr:uid="{6497394A-5625-440A-AC9B-18628ACB8209}"/>
    <cellStyle name="Currency 10 3 14" xfId="1359" xr:uid="{392AB3F2-6EB4-4DE9-B6F4-DE3E7925E8DE}"/>
    <cellStyle name="Currency 10 3 15" xfId="1360" xr:uid="{497E6E89-DDA8-4B37-8F05-5109F2EB19E6}"/>
    <cellStyle name="Currency 10 3 16" xfId="1361" xr:uid="{6462C448-E021-42AD-9382-283A05E3B06F}"/>
    <cellStyle name="Currency 10 3 17" xfId="1362" xr:uid="{B1A72ED6-7EFB-4E61-8560-368F85793F5C}"/>
    <cellStyle name="Currency 10 3 18" xfId="1363" xr:uid="{6F6509CA-72CA-4665-B314-3B4B18B9106C}"/>
    <cellStyle name="Currency 10 3 19" xfId="1364" xr:uid="{F944ABA6-F563-4B7E-A539-EDD3BC45D5BB}"/>
    <cellStyle name="Currency 10 3 2" xfId="1365" xr:uid="{EE5E05DE-9B71-483C-8609-A7ADBF529067}"/>
    <cellStyle name="Currency 10 3 20" xfId="1366" xr:uid="{E90B36F2-4EF7-4748-BC3A-81B9BC1E721E}"/>
    <cellStyle name="Currency 10 3 21" xfId="1367" xr:uid="{5BEA3770-EB76-4C11-A389-F3B9029CBBFD}"/>
    <cellStyle name="Currency 10 3 22" xfId="1368" xr:uid="{537BAFBF-9B54-4482-9C64-4FA9F0A87404}"/>
    <cellStyle name="Currency 10 3 23" xfId="1369" xr:uid="{CC7298F3-8E86-40B9-89E1-B3236D48B5BA}"/>
    <cellStyle name="Currency 10 3 24" xfId="1370" xr:uid="{6C2A97C7-D64C-40CE-B5CA-3D83C9314AF8}"/>
    <cellStyle name="Currency 10 3 25" xfId="1371" xr:uid="{CE6644DF-3AA4-460E-BCD7-08D2893A672C}"/>
    <cellStyle name="Currency 10 3 26" xfId="1372" xr:uid="{C9FA3106-4B91-451A-8C39-35D7BFBE8C32}"/>
    <cellStyle name="Currency 10 3 3" xfId="1373" xr:uid="{E4B9793B-4F53-4646-B4A7-554C77E73213}"/>
    <cellStyle name="Currency 10 3 4" xfId="1374" xr:uid="{EDE02B03-58B0-4679-BCAE-CBFCF749C8DF}"/>
    <cellStyle name="Currency 10 3 5" xfId="1375" xr:uid="{2838936F-1850-4CF2-B5F8-3810F66D7A79}"/>
    <cellStyle name="Currency 10 3 6" xfId="1376" xr:uid="{F592B97D-5A11-425B-809F-E08FD1F0B4C0}"/>
    <cellStyle name="Currency 10 3 7" xfId="1377" xr:uid="{161F0094-2A57-4794-B7A3-94EF505384DF}"/>
    <cellStyle name="Currency 10 3 8" xfId="1378" xr:uid="{167C5F78-4CFC-491D-9E5D-3337FDAF61B7}"/>
    <cellStyle name="Currency 10 3 9" xfId="1379" xr:uid="{2D8584DF-A506-431A-A56F-9779B55CF7F2}"/>
    <cellStyle name="Currency 10 30" xfId="1380" xr:uid="{137AB0CB-E28C-462C-9F2B-998FC2419D39}"/>
    <cellStyle name="Currency 10 31" xfId="1381" xr:uid="{B04EF8AE-D7CA-45EA-8656-09824644EBD8}"/>
    <cellStyle name="Currency 10 32" xfId="1382" xr:uid="{B2E08E23-8F8E-4FD2-9C2D-567A44ACEFB8}"/>
    <cellStyle name="Currency 10 33" xfId="1383" xr:uid="{0EF8CD13-D5FC-4C60-9D06-DB159CF10339}"/>
    <cellStyle name="Currency 10 34" xfId="1384" xr:uid="{AA8A8C06-33AF-4806-B40F-E4E1437EE5CF}"/>
    <cellStyle name="Currency 10 35" xfId="1385" xr:uid="{326840B6-3937-4B34-BCB9-D9AF1CC14C90}"/>
    <cellStyle name="Currency 10 36" xfId="1386" xr:uid="{F2E036EA-DD21-42DC-85C4-11BC758E2064}"/>
    <cellStyle name="Currency 10 37" xfId="1387" xr:uid="{EA0E91E0-9A20-4B71-B400-786DA47BA290}"/>
    <cellStyle name="Currency 10 38" xfId="1388" xr:uid="{7503C9E4-397A-4BD8-8D10-E27027179208}"/>
    <cellStyle name="Currency 10 39" xfId="1389" xr:uid="{5C8028F7-34D0-4510-ADE7-8E91D8667BC9}"/>
    <cellStyle name="Currency 10 4" xfId="1390" xr:uid="{A010A127-201E-44D8-ADC6-CF7B27A4D6EB}"/>
    <cellStyle name="Currency 10 40" xfId="1391" xr:uid="{1BA7EEA4-C01B-45B5-9432-8E0FC652AE14}"/>
    <cellStyle name="Currency 10 41" xfId="1392" xr:uid="{1E776530-BDA3-4512-AF0E-890180DDC1E6}"/>
    <cellStyle name="Currency 10 42" xfId="1393" xr:uid="{7C8C25A7-D3A9-4BC2-8919-54478349EF59}"/>
    <cellStyle name="Currency 10 43" xfId="1394" xr:uid="{15AFCD63-D47C-4402-BCD9-5EE376932841}"/>
    <cellStyle name="Currency 10 44" xfId="1395" xr:uid="{7FC780DC-9B09-4026-9AF2-6766F3FBB289}"/>
    <cellStyle name="Currency 10 45" xfId="1396" xr:uid="{8E5B2E2C-3D60-46D2-9854-6D9386C1B8FC}"/>
    <cellStyle name="Currency 10 46" xfId="1397" xr:uid="{D7001BAC-CEFB-414B-95D2-8A6BD5955B5C}"/>
    <cellStyle name="Currency 10 47" xfId="1398" xr:uid="{90D7806E-E458-4367-B42C-7E82F74F8E71}"/>
    <cellStyle name="Currency 10 48" xfId="1399" xr:uid="{9E8FE638-3A64-4C13-BDEA-0F646F335650}"/>
    <cellStyle name="Currency 10 49" xfId="1400" xr:uid="{D18DFAA4-8691-4478-831C-B56723408E6B}"/>
    <cellStyle name="Currency 10 5" xfId="1401" xr:uid="{A7D15052-3A1E-4347-9FB6-04C2A53FA0E2}"/>
    <cellStyle name="Currency 10 5 10" xfId="1402" xr:uid="{A2463282-77A4-4A50-A981-7767251481F5}"/>
    <cellStyle name="Currency 10 5 11" xfId="1403" xr:uid="{F8F99867-1A4A-43F8-85AE-D5EF6312D963}"/>
    <cellStyle name="Currency 10 5 12" xfId="1404" xr:uid="{22D18298-1DB4-40E9-A9E9-8DD61D1AB466}"/>
    <cellStyle name="Currency 10 5 13" xfId="1405" xr:uid="{D704B836-99EC-45C9-807A-C604F73524CF}"/>
    <cellStyle name="Currency 10 5 14" xfId="1406" xr:uid="{6FE2D156-686E-4D72-AB7A-68DF0F837951}"/>
    <cellStyle name="Currency 10 5 15" xfId="1407" xr:uid="{7672F944-A087-4881-B14B-55736D8936DA}"/>
    <cellStyle name="Currency 10 5 16" xfId="1408" xr:uid="{45239222-8506-4891-A072-0962CC4E0E59}"/>
    <cellStyle name="Currency 10 5 17" xfId="1409" xr:uid="{1C027A15-2264-438F-A157-8506345156CB}"/>
    <cellStyle name="Currency 10 5 18" xfId="1410" xr:uid="{43A9A328-496C-4A91-BAE0-91140F64F50C}"/>
    <cellStyle name="Currency 10 5 19" xfId="1411" xr:uid="{6596B5E2-E8DB-48E1-8A4B-DE60D826C43C}"/>
    <cellStyle name="Currency 10 5 2" xfId="1412" xr:uid="{A4F0EDA6-C996-43A0-ABCF-8CDBE2723066}"/>
    <cellStyle name="Currency 10 5 20" xfId="1413" xr:uid="{B69CF096-6626-4AB9-9CB3-FFC65746736B}"/>
    <cellStyle name="Currency 10 5 21" xfId="1414" xr:uid="{B0BD0405-BCF0-47E6-9C4D-FB228A545489}"/>
    <cellStyle name="Currency 10 5 22" xfId="1415" xr:uid="{507A2611-1AEB-4DB5-950A-8389F56EBDBA}"/>
    <cellStyle name="Currency 10 5 23" xfId="1416" xr:uid="{16F7CD76-8A13-4CCC-BD56-011259015DCA}"/>
    <cellStyle name="Currency 10 5 24" xfId="1417" xr:uid="{6412C7BF-F67F-4FB2-9BA4-D107E81E96EA}"/>
    <cellStyle name="Currency 10 5 25" xfId="1418" xr:uid="{1FEABE30-049B-438B-BB7F-F0719483BA19}"/>
    <cellStyle name="Currency 10 5 26" xfId="1419" xr:uid="{92C4D4E4-CF96-4B8B-991C-7EF7549085F4}"/>
    <cellStyle name="Currency 10 5 27" xfId="1420" xr:uid="{6A82ABB0-6B93-4D5C-B9C8-288FDF658470}"/>
    <cellStyle name="Currency 10 5 28" xfId="1421" xr:uid="{AAAE05EF-A431-4506-BA8A-99A57C9A594D}"/>
    <cellStyle name="Currency 10 5 29" xfId="1422" xr:uid="{937C6271-47F1-4BFF-A6C8-EF6088E4BAE5}"/>
    <cellStyle name="Currency 10 5 3" xfId="1423" xr:uid="{53F0ED37-4B6B-4800-9157-CFF89128EB20}"/>
    <cellStyle name="Currency 10 5 30" xfId="1424" xr:uid="{4CABD2B7-88B6-48A7-9E96-5EB87B36C7DB}"/>
    <cellStyle name="Currency 10 5 31" xfId="1425" xr:uid="{0D696ACD-E91A-4E4F-B356-182E561F52BE}"/>
    <cellStyle name="Currency 10 5 32" xfId="1426" xr:uid="{550CEC12-9710-41C2-98BE-EB7863E64C10}"/>
    <cellStyle name="Currency 10 5 33" xfId="1427" xr:uid="{40D7AB69-94BB-4A45-8CD0-0F1241718898}"/>
    <cellStyle name="Currency 10 5 34" xfId="1428" xr:uid="{8D5A672B-9DC4-48A8-9136-915164CA470C}"/>
    <cellStyle name="Currency 10 5 35" xfId="1429" xr:uid="{554C69D4-CFA9-470E-AB76-3A0FA28314E7}"/>
    <cellStyle name="Currency 10 5 36" xfId="1430" xr:uid="{2120320E-0FEC-4DAA-AFC3-B7527576522B}"/>
    <cellStyle name="Currency 10 5 37" xfId="1431" xr:uid="{4860B1EE-7EC1-40E4-A045-048148DE1C31}"/>
    <cellStyle name="Currency 10 5 38" xfId="1432" xr:uid="{14CFD2F3-099C-4157-8B46-5A32F9C7BA9A}"/>
    <cellStyle name="Currency 10 5 39" xfId="1433" xr:uid="{84400BDE-828E-42BF-BE6E-8CF0E36406A6}"/>
    <cellStyle name="Currency 10 5 4" xfId="1434" xr:uid="{4B026CC2-1F79-4D0D-9407-FCF09B655088}"/>
    <cellStyle name="Currency 10 5 40" xfId="1435" xr:uid="{EAA28577-1800-449C-B9A0-CA062B20808F}"/>
    <cellStyle name="Currency 10 5 41" xfId="1436" xr:uid="{F0F6811A-3C2D-4F5A-82FC-CEA6AEC21B54}"/>
    <cellStyle name="Currency 10 5 42" xfId="1437" xr:uid="{FCE2BE47-C226-48DD-BAF6-51FAD7E006D5}"/>
    <cellStyle name="Currency 10 5 43" xfId="1438" xr:uid="{F00088C9-1D32-4BE3-9869-0E4494FFF4FD}"/>
    <cellStyle name="Currency 10 5 44" xfId="1439" xr:uid="{309A58D4-AB3F-4DBC-8E2D-93D318A4E46A}"/>
    <cellStyle name="Currency 10 5 45" xfId="1440" xr:uid="{A0F6E185-0649-46DD-8ADF-C241848EC2DA}"/>
    <cellStyle name="Currency 10 5 46" xfId="1441" xr:uid="{D7677295-356C-4410-B79D-0C0065E28763}"/>
    <cellStyle name="Currency 10 5 47" xfId="1442" xr:uid="{85B6764B-9E10-47DA-B91C-4C654184B0D7}"/>
    <cellStyle name="Currency 10 5 48" xfId="1443" xr:uid="{C5AAEE7E-9D3E-4164-AE55-DEC75682524E}"/>
    <cellStyle name="Currency 10 5 49" xfId="1444" xr:uid="{E54D08D8-9A17-4097-A91D-4DF7F47B9A95}"/>
    <cellStyle name="Currency 10 5 5" xfId="1445" xr:uid="{75BD6619-695F-4A59-B561-D844652BDB82}"/>
    <cellStyle name="Currency 10 5 50" xfId="1446" xr:uid="{5AE58362-2298-458C-BC3E-4E5435E06025}"/>
    <cellStyle name="Currency 10 5 51" xfId="1447" xr:uid="{3BE41445-6E8F-488F-9C58-81BB60741180}"/>
    <cellStyle name="Currency 10 5 52" xfId="1448" xr:uid="{1C75071B-CBF8-44DD-9A99-A60CFFF1D2AC}"/>
    <cellStyle name="Currency 10 5 53" xfId="1449" xr:uid="{6EBA097E-71C5-467C-A79C-9066453CF8ED}"/>
    <cellStyle name="Currency 10 5 54" xfId="1450" xr:uid="{5177C288-2939-447E-8185-F01F6130CD99}"/>
    <cellStyle name="Currency 10 5 55" xfId="1451" xr:uid="{7AF6833B-AB6B-425E-9724-87EF16398E8E}"/>
    <cellStyle name="Currency 10 5 56" xfId="1452" xr:uid="{15C8D786-5314-448E-A69B-779E1DF88962}"/>
    <cellStyle name="Currency 10 5 57" xfId="1453" xr:uid="{31D7C1BD-5A18-4429-A7B2-7A5AF2B20CE1}"/>
    <cellStyle name="Currency 10 5 58" xfId="1454" xr:uid="{1CB7C724-106A-47CA-BFDD-532D9A4F66FC}"/>
    <cellStyle name="Currency 10 5 59" xfId="1455" xr:uid="{DBB86EA7-3BF2-428D-BE25-BB8667319F1E}"/>
    <cellStyle name="Currency 10 5 6" xfId="1456" xr:uid="{C44FCC82-58A6-4D1F-8AC5-7845D89E1BDD}"/>
    <cellStyle name="Currency 10 5 60" xfId="1457" xr:uid="{45085A22-2BDE-4965-9F03-9C60CD0D9BED}"/>
    <cellStyle name="Currency 10 5 61" xfId="1458" xr:uid="{C38DB479-A94F-4395-99AF-4D47ADF67301}"/>
    <cellStyle name="Currency 10 5 62" xfId="1459" xr:uid="{6F0D03D3-7613-422E-B84F-E6E7D2010A7E}"/>
    <cellStyle name="Currency 10 5 63" xfId="1460" xr:uid="{138326D1-1306-492E-BB64-C4B7A24AF26D}"/>
    <cellStyle name="Currency 10 5 64" xfId="1461" xr:uid="{8CD4C92E-A973-44A7-84D3-2BD1A448E31E}"/>
    <cellStyle name="Currency 10 5 65" xfId="1462" xr:uid="{6529998B-B3FC-434A-8372-11B8538DDE79}"/>
    <cellStyle name="Currency 10 5 66" xfId="1463" xr:uid="{C6DB3FBA-207E-4530-8FFC-A068FDFFE1A4}"/>
    <cellStyle name="Currency 10 5 67" xfId="1464" xr:uid="{9E1BEA20-01F2-42EF-A019-1E3877509E58}"/>
    <cellStyle name="Currency 10 5 68" xfId="1465" xr:uid="{381A09F7-09E9-4E47-AC3E-52836BE3965D}"/>
    <cellStyle name="Currency 10 5 69" xfId="1466" xr:uid="{E1745781-291F-4C1D-A0EA-E56F4D54A5A2}"/>
    <cellStyle name="Currency 10 5 7" xfId="1467" xr:uid="{BC8E0790-4C2F-48B3-B2BE-4038AD8344C7}"/>
    <cellStyle name="Currency 10 5 70" xfId="1468" xr:uid="{D7B948B2-EFD0-41AF-9135-BE66DC848268}"/>
    <cellStyle name="Currency 10 5 71" xfId="1469" xr:uid="{BDD5A14D-1F7B-4C82-B213-179972138DDA}"/>
    <cellStyle name="Currency 10 5 8" xfId="1470" xr:uid="{EAEFD1F9-7F04-43C8-A97A-68FB407736E0}"/>
    <cellStyle name="Currency 10 5 9" xfId="1471" xr:uid="{815E1CA2-E138-4C08-8961-BD35160CE5B1}"/>
    <cellStyle name="Currency 10 50" xfId="1472" xr:uid="{6DBB1582-C8BE-4050-9121-851709D6B6A9}"/>
    <cellStyle name="Currency 10 51" xfId="1473" xr:uid="{06565014-F778-4416-8738-4EC2BD65FEC5}"/>
    <cellStyle name="Currency 10 52" xfId="1474" xr:uid="{4B0B16BF-5F6B-4469-B1CA-0D66176242AB}"/>
    <cellStyle name="Currency 10 53" xfId="1475" xr:uid="{935E83DC-53A3-484A-8011-B65545A7EA3D}"/>
    <cellStyle name="Currency 10 54" xfId="1476" xr:uid="{974DB25B-79FF-4F8C-9626-D80ACEEF957C}"/>
    <cellStyle name="Currency 10 55" xfId="1477" xr:uid="{2ED9E8C9-F015-470A-BFB1-7104D48290DF}"/>
    <cellStyle name="Currency 10 56" xfId="1478" xr:uid="{8C38F76A-CC16-40E9-9A7B-D27CD9135BA5}"/>
    <cellStyle name="Currency 10 57" xfId="1479" xr:uid="{793B7941-AF14-402D-89B3-15A979F1EDD0}"/>
    <cellStyle name="Currency 10 58" xfId="1480" xr:uid="{B49FD14E-89DF-422B-A786-6C4E82BD47E7}"/>
    <cellStyle name="Currency 10 59" xfId="1481" xr:uid="{B1DFBF94-9FF1-448D-9A53-697583C28295}"/>
    <cellStyle name="Currency 10 6" xfId="1482" xr:uid="{D1795A0F-B1C1-457C-9242-E5E36874BA7B}"/>
    <cellStyle name="Currency 10 60" xfId="1483" xr:uid="{9A688B57-64D8-4F20-B669-5F61FF606C7E}"/>
    <cellStyle name="Currency 10 60 2" xfId="1484" xr:uid="{82B6F98F-5B90-4C0B-AE04-42272035AFA7}"/>
    <cellStyle name="Currency 10 60 3" xfId="1485" xr:uid="{44A386EF-223C-48B7-923B-CB0C68220727}"/>
    <cellStyle name="Currency 10 60 3 2" xfId="1486" xr:uid="{B9B437E3-6B2D-4F3B-81A5-F1A260906621}"/>
    <cellStyle name="Currency 10 61" xfId="1487" xr:uid="{BBFCCF8F-6760-4E90-8271-7CD488718E30}"/>
    <cellStyle name="Currency 10 62" xfId="1488" xr:uid="{4BBF73A7-C06F-40FA-B169-731D665FFB3B}"/>
    <cellStyle name="Currency 10 63" xfId="1489" xr:uid="{1F7F217D-20E9-4F14-81B9-E368CC10201B}"/>
    <cellStyle name="Currency 10 64" xfId="1490" xr:uid="{3A4E8B5C-F674-4826-A707-55E8F0A126A4}"/>
    <cellStyle name="Currency 10 65" xfId="1491" xr:uid="{1FA875E9-B24A-44F0-9704-5360595EB748}"/>
    <cellStyle name="Currency 10 66" xfId="1492" xr:uid="{9935CE4E-A16B-4624-BB4F-BD0E0E7D91AF}"/>
    <cellStyle name="Currency 10 67" xfId="1493" xr:uid="{9A449994-B896-42AE-BD40-30367D00883C}"/>
    <cellStyle name="Currency 10 68" xfId="1494" xr:uid="{6D0E79DD-1653-48F7-8822-72479F3DB07B}"/>
    <cellStyle name="Currency 10 69" xfId="1495" xr:uid="{8DFDF09E-0164-461D-B61F-55CB46E8BE6C}"/>
    <cellStyle name="Currency 10 7" xfId="1496" xr:uid="{629DA62F-1B10-4B52-9081-7EFBBB874625}"/>
    <cellStyle name="Currency 10 70" xfId="1497" xr:uid="{F669CCA6-AC84-425A-A047-7963568964AB}"/>
    <cellStyle name="Currency 10 71" xfId="1498" xr:uid="{2EE38580-FA06-4143-808E-F7C588C3732A}"/>
    <cellStyle name="Currency 10 72" xfId="1499" xr:uid="{A9B0BEE3-91D7-48D6-B3DA-77E6D692129F}"/>
    <cellStyle name="Currency 10 73" xfId="1500" xr:uid="{4A3ACE48-E8D0-4555-9B64-721D3035487E}"/>
    <cellStyle name="Currency 10 74" xfId="1501" xr:uid="{D342124A-2413-4E12-8B12-AA2A5D503AB6}"/>
    <cellStyle name="Currency 10 8" xfId="1502" xr:uid="{AE1FE659-F6E0-402C-819C-73D9A50F5D9F}"/>
    <cellStyle name="Currency 10 9" xfId="1503" xr:uid="{F7D8C68B-DEB6-4D13-BFCF-132067847AA3}"/>
    <cellStyle name="Currency 11" xfId="1504" xr:uid="{0ABE6122-6C27-41B0-AAB9-ECC363559DFA}"/>
    <cellStyle name="Currency 12" xfId="30" xr:uid="{00000000-0005-0000-0000-000007000000}"/>
    <cellStyle name="Currency 12 2" xfId="64" xr:uid="{EFCCE910-7EC7-4BBD-B24E-795EB4F4309E}"/>
    <cellStyle name="Currency 12 3" xfId="1505" xr:uid="{B7C5B0EC-34CA-4D06-987D-A654BCA515DF}"/>
    <cellStyle name="Currency 13" xfId="1506" xr:uid="{416D1A90-237D-43C4-BE8A-2C9CAA85857C}"/>
    <cellStyle name="Currency 14" xfId="1507" xr:uid="{4DFC2F50-3D51-4C22-AEB1-5F1896E12D41}"/>
    <cellStyle name="Currency 15" xfId="1508" xr:uid="{3970D796-5921-467E-882B-15992D1E0EE6}"/>
    <cellStyle name="Currency 16" xfId="1509" xr:uid="{816BB687-D7B5-410E-9395-7AE212654D76}"/>
    <cellStyle name="Currency 17" xfId="1510" xr:uid="{62926FE6-CC6E-456A-B071-454E04D9C016}"/>
    <cellStyle name="Currency 18" xfId="1511" xr:uid="{01E9D3AA-AE7A-4E14-ADB8-E71A5BE5AF6D}"/>
    <cellStyle name="Currency 19" xfId="1512" xr:uid="{B1FFE7BD-0FA9-42DE-A152-AF0C4589DE86}"/>
    <cellStyle name="Currency 2" xfId="31" xr:uid="{00000000-0005-0000-0000-000008000000}"/>
    <cellStyle name="Currency 2 2" xfId="1514" xr:uid="{97B244A6-DE70-4487-A145-A49FB2A2E9E9}"/>
    <cellStyle name="Currency 2 3" xfId="1515" xr:uid="{9E2ADF41-7922-4334-ACA8-C7E90368D164}"/>
    <cellStyle name="Currency 2 4" xfId="1513" xr:uid="{EDCEAD21-5C24-4EE4-BAA8-7ECBAEC3339C}"/>
    <cellStyle name="Currency 20" xfId="1516" xr:uid="{57D73E5F-B503-4099-BE19-02BAF342E991}"/>
    <cellStyle name="Currency 21" xfId="1517" xr:uid="{7B121E50-2B53-4E66-BD23-B42DF681A8D4}"/>
    <cellStyle name="Currency 22" xfId="1518" xr:uid="{B9BE2B39-C6EB-46C3-97C9-7886E6FB032C}"/>
    <cellStyle name="Currency 23" xfId="1519" xr:uid="{462F368F-55CA-439D-AB06-AD2F43ACC966}"/>
    <cellStyle name="Currency 24" xfId="1520" xr:uid="{A13960CC-DA64-4CD8-AC0E-28ED847C4F6D}"/>
    <cellStyle name="Currency 25" xfId="1521" xr:uid="{AB558D3C-8290-48D9-8771-D7AD17DD8855}"/>
    <cellStyle name="Currency 26" xfId="1522" xr:uid="{0A7BDBD2-836E-4527-B4D4-70E2690A284C}"/>
    <cellStyle name="Currency 27" xfId="1523" xr:uid="{6E133084-DF8A-4215-A4FD-C252D14EB744}"/>
    <cellStyle name="Currency 28" xfId="1524" xr:uid="{1EE00C76-C155-46B2-9DD1-A6576E127AE6}"/>
    <cellStyle name="Currency 29" xfId="1525" xr:uid="{3E18A72B-AACF-4705-9422-C44D37C9CE9C}"/>
    <cellStyle name="Currency 3" xfId="32" xr:uid="{00000000-0005-0000-0000-000009000000}"/>
    <cellStyle name="Currency 3 2" xfId="1526" xr:uid="{129ED809-18FE-43B1-8B29-39D187499309}"/>
    <cellStyle name="Currency 3 3" xfId="1527" xr:uid="{9EF202F3-E10A-42A0-AE37-838C9E6496FB}"/>
    <cellStyle name="Currency 30" xfId="1528" xr:uid="{BA2A1B14-026E-496A-93C4-EA452909E5BA}"/>
    <cellStyle name="Currency 31" xfId="1529" xr:uid="{8555B96A-3B0F-4A1F-83DA-CD304CFA0AF2}"/>
    <cellStyle name="Currency 32" xfId="1530" xr:uid="{B5C0768D-484A-44FB-BABC-18133722B130}"/>
    <cellStyle name="Currency 33" xfId="1531" xr:uid="{44D02C21-0106-44F2-8869-99E8A98F291B}"/>
    <cellStyle name="Currency 34" xfId="1532" xr:uid="{2D63B7C5-8730-418A-BA01-09D6F09BD09D}"/>
    <cellStyle name="Currency 35" xfId="1533" xr:uid="{1D77F257-538D-4442-8055-0F29BFD6B3D7}"/>
    <cellStyle name="Currency 36" xfId="1534" xr:uid="{DBE3D5C2-3D17-4E46-B320-D36126340E70}"/>
    <cellStyle name="Currency 37" xfId="1535" xr:uid="{E19A0FE3-C95F-4C09-B8E6-BAAAB17F8FE7}"/>
    <cellStyle name="Currency 38" xfId="1536" xr:uid="{BC57B61A-B450-452A-8D08-A07920C8CECE}"/>
    <cellStyle name="Currency 39" xfId="1537" xr:uid="{B4316D93-9465-467D-95C0-36C2D126283A}"/>
    <cellStyle name="Currency 4" xfId="1538" xr:uid="{0CF77A26-CED3-473E-9FF0-3DC48BAB1CEF}"/>
    <cellStyle name="Currency 4 10" xfId="1539" xr:uid="{D5048EB8-A169-40A2-8E00-B69A88663BD1}"/>
    <cellStyle name="Currency 4 11" xfId="1540" xr:uid="{D3EBEF6F-AC27-490E-BA89-AF4CD99B942F}"/>
    <cellStyle name="Currency 4 12" xfId="1541" xr:uid="{266A034E-8AD4-4397-B769-BC77CFBB434C}"/>
    <cellStyle name="Currency 4 13" xfId="1542" xr:uid="{FB1BE5C8-55D1-431F-A6E0-8B35E4988D69}"/>
    <cellStyle name="Currency 4 14" xfId="1543" xr:uid="{B05EE7DA-7661-45F1-8E03-22037AE4F71E}"/>
    <cellStyle name="Currency 4 15" xfId="1544" xr:uid="{AE273EB2-8A58-42FA-8560-3BBC843219B2}"/>
    <cellStyle name="Currency 4 16" xfId="1545" xr:uid="{15DA72E4-D7F4-4C97-839E-4611927B83C7}"/>
    <cellStyle name="Currency 4 17" xfId="1546" xr:uid="{90C1FB4C-269B-4CBD-9890-7245B02F4C4F}"/>
    <cellStyle name="Currency 4 18" xfId="1547" xr:uid="{B50BB60A-EEA5-45B3-B7A8-60328C912D8F}"/>
    <cellStyle name="Currency 4 19" xfId="1548" xr:uid="{45ABE55D-9A5E-4132-B026-D9765701D548}"/>
    <cellStyle name="Currency 4 2" xfId="1549" xr:uid="{9888AAA2-09F0-43D6-8E62-4CE43F6F4D18}"/>
    <cellStyle name="Currency 4 20" xfId="1550" xr:uid="{5976A6CA-EB25-43E5-8D86-42AB41F72631}"/>
    <cellStyle name="Currency 4 21" xfId="1551" xr:uid="{B5125AD9-0EBD-49B0-8811-6DFF137FA1BF}"/>
    <cellStyle name="Currency 4 22" xfId="1552" xr:uid="{BB819448-E944-4FDE-8BF2-0E2D457E1FD7}"/>
    <cellStyle name="Currency 4 23" xfId="1553" xr:uid="{81D5434A-B880-4154-9872-24544E74A80D}"/>
    <cellStyle name="Currency 4 24" xfId="1554" xr:uid="{A2585993-7B1D-48E7-B88A-570EA6F89AEE}"/>
    <cellStyle name="Currency 4 25" xfId="1555" xr:uid="{FA94993D-F240-4D55-A090-84FDB3B1D9F6}"/>
    <cellStyle name="Currency 4 26" xfId="1556" xr:uid="{0DDF8A03-9988-4F17-A6BB-CB99FCFD6174}"/>
    <cellStyle name="Currency 4 27" xfId="1557" xr:uid="{052BDCC7-48B0-4B5C-B994-B87D77CDA2BC}"/>
    <cellStyle name="Currency 4 28" xfId="1558" xr:uid="{98EF7BE4-100B-4F1E-93DA-E564F749BB48}"/>
    <cellStyle name="Currency 4 29" xfId="1559" xr:uid="{BCC3247B-ED85-452B-B547-DB3D5269FF7E}"/>
    <cellStyle name="Currency 4 3" xfId="1560" xr:uid="{E7731B55-B436-426B-BEBC-5CD29F91E948}"/>
    <cellStyle name="Currency 4 30" xfId="1561" xr:uid="{D5E07F52-D2F9-46D7-8849-C13C36D65D33}"/>
    <cellStyle name="Currency 4 31" xfId="1562" xr:uid="{DDC32BAE-E179-477B-B813-FA5AD4C665B6}"/>
    <cellStyle name="Currency 4 32" xfId="1563" xr:uid="{8878F559-61E5-48FB-8ABF-E23B348E17DE}"/>
    <cellStyle name="Currency 4 33" xfId="1564" xr:uid="{F3AAE781-15FE-43EF-9E62-430BDE8E38D5}"/>
    <cellStyle name="Currency 4 34" xfId="1565" xr:uid="{C53ED3BC-7B6D-4CBB-B34B-84074A640991}"/>
    <cellStyle name="Currency 4 35" xfId="1566" xr:uid="{4189458E-9515-4D7F-B3FB-40CAFF6E5651}"/>
    <cellStyle name="Currency 4 36" xfId="1567" xr:uid="{064E27C3-4CA2-4E59-8AF2-ABB00FA341C2}"/>
    <cellStyle name="Currency 4 37" xfId="1568" xr:uid="{17EC3EC6-C8B9-4E00-8168-C620BC7C64EA}"/>
    <cellStyle name="Currency 4 38" xfId="1569" xr:uid="{7C73C4CD-4052-4F92-AE8B-A2E31F983187}"/>
    <cellStyle name="Currency 4 39" xfId="1570" xr:uid="{5174910F-4D3B-4950-A62C-AD6C95BD2ADA}"/>
    <cellStyle name="Currency 4 4" xfId="1571" xr:uid="{AF0EFD7D-F3B1-45C2-BB58-6FA9A4532308}"/>
    <cellStyle name="Currency 4 40" xfId="1572" xr:uid="{96514CB1-040F-4890-B99F-D503973ACAD2}"/>
    <cellStyle name="Currency 4 41" xfId="1573" xr:uid="{E356DDC6-6815-4309-B2B7-B851857661A4}"/>
    <cellStyle name="Currency 4 42" xfId="1574" xr:uid="{CD826FF1-72AE-482D-8A7E-556A6A60021E}"/>
    <cellStyle name="Currency 4 43" xfId="1575" xr:uid="{2F38EF5D-41E9-4236-B214-F203E2ACE05D}"/>
    <cellStyle name="Currency 4 44" xfId="1576" xr:uid="{8A48BB48-933A-4ED3-9674-473A19A7E425}"/>
    <cellStyle name="Currency 4 45" xfId="1577" xr:uid="{66BFDAC2-1230-4A6A-8DD3-D004AFFE51B9}"/>
    <cellStyle name="Currency 4 46" xfId="1578" xr:uid="{1A1FDA71-70CD-4DAE-97E5-884971350094}"/>
    <cellStyle name="Currency 4 47" xfId="1579" xr:uid="{DFD838A0-CCAC-45B6-B708-E7775A526DCE}"/>
    <cellStyle name="Currency 4 48" xfId="1580" xr:uid="{71F0A60E-13CB-4021-96C3-D2E7B38E6048}"/>
    <cellStyle name="Currency 4 49" xfId="1581" xr:uid="{B9C8A5DE-077B-424D-8C0D-6F024481E061}"/>
    <cellStyle name="Currency 4 5" xfId="1582" xr:uid="{0874D680-5E14-4496-B8A0-043120F9BF1C}"/>
    <cellStyle name="Currency 4 50" xfId="1583" xr:uid="{34410383-1A34-4078-92A8-CC594844E0E2}"/>
    <cellStyle name="Currency 4 51" xfId="1584" xr:uid="{75A3C46E-A2A9-406A-80E2-828CAC2C8B5C}"/>
    <cellStyle name="Currency 4 52" xfId="1585" xr:uid="{980CFC7E-D6D1-4589-A6F0-244F996D2C0C}"/>
    <cellStyle name="Currency 4 53" xfId="1586" xr:uid="{24F2A053-9777-436D-8558-A3400332ED59}"/>
    <cellStyle name="Currency 4 54" xfId="1587" xr:uid="{C5683862-BC35-4FB3-A892-4632587C9742}"/>
    <cellStyle name="Currency 4 55" xfId="1588" xr:uid="{3B55EBF0-79BC-49A8-B2B2-E874FABC6FD9}"/>
    <cellStyle name="Currency 4 56" xfId="1589" xr:uid="{595AD6D3-AF60-4E62-AE60-1C649347CE11}"/>
    <cellStyle name="Currency 4 57" xfId="1590" xr:uid="{CA00E9ED-EE82-4AA8-9862-27230C922507}"/>
    <cellStyle name="Currency 4 58" xfId="1591" xr:uid="{4C003AEF-61DC-4053-8AC8-B1DD1E6C60D7}"/>
    <cellStyle name="Currency 4 59" xfId="1592" xr:uid="{F61FA64C-FC83-42EE-8072-EDA249CF2CE2}"/>
    <cellStyle name="Currency 4 6" xfId="1593" xr:uid="{2D92966B-FBCB-4B89-B4FD-18B93E1DD703}"/>
    <cellStyle name="Currency 4 60" xfId="1594" xr:uid="{487BD5E9-80FD-4F48-8F1A-448350B83BAD}"/>
    <cellStyle name="Currency 4 61" xfId="1595" xr:uid="{09F59AC3-7389-4058-9092-F9D07D76E2A1}"/>
    <cellStyle name="Currency 4 62" xfId="1596" xr:uid="{82D33BBE-5708-4859-8CAF-B4BFCC73119E}"/>
    <cellStyle name="Currency 4 63" xfId="1597" xr:uid="{9F441113-62DE-4572-A035-16AED99FA76B}"/>
    <cellStyle name="Currency 4 64" xfId="1598" xr:uid="{7F92373C-5218-4B1F-87FF-38186CDDC4A9}"/>
    <cellStyle name="Currency 4 7" xfId="1599" xr:uid="{4437B4E9-0F44-4938-A478-E0DBFED91011}"/>
    <cellStyle name="Currency 4 8" xfId="1600" xr:uid="{D2DC3F75-82E0-4181-B38A-16EE0087853A}"/>
    <cellStyle name="Currency 4 9" xfId="1601" xr:uid="{58BF2283-E7D3-4D6C-B586-CA338CC3DCA5}"/>
    <cellStyle name="Currency 40" xfId="1602" xr:uid="{C9E5BF0F-98CB-4F31-ABB2-8BF62953DF65}"/>
    <cellStyle name="Currency 41" xfId="1603" xr:uid="{4D638D5D-C624-4534-B7AC-319523048216}"/>
    <cellStyle name="Currency 42" xfId="1604" xr:uid="{F2FBDABE-1B3B-40D3-A724-8548AC6FCCD0}"/>
    <cellStyle name="Currency 43" xfId="1605" xr:uid="{722462A6-1827-4902-8D69-3A41D9314572}"/>
    <cellStyle name="Currency 44" xfId="1606" xr:uid="{737E7C2B-07C2-464C-BFDD-2CD18A6C5505}"/>
    <cellStyle name="Currency 45" xfId="1607" xr:uid="{EE06EECC-8743-4A39-AC98-31EC4C4EBD31}"/>
    <cellStyle name="Currency 46" xfId="1608" xr:uid="{7A761C62-4248-4CBB-8231-8BB0702CC3E3}"/>
    <cellStyle name="Currency 47" xfId="75" xr:uid="{DAD17912-3826-4653-A080-A0590EF76B3D}"/>
    <cellStyle name="Currency 5" xfId="1609" xr:uid="{0E28C6E2-52E6-41CC-A770-FBF18578C137}"/>
    <cellStyle name="Currency 5 10" xfId="1610" xr:uid="{FFF18F33-97AF-4634-83C4-BEFA5DE56E68}"/>
    <cellStyle name="Currency 5 11" xfId="1611" xr:uid="{CAAD325F-5722-489D-BE72-B7A7C6A2099E}"/>
    <cellStyle name="Currency 5 12" xfId="1612" xr:uid="{8E139E44-DBC1-4885-BE00-8255D4273F9E}"/>
    <cellStyle name="Currency 5 13" xfId="1613" xr:uid="{B3832A99-3759-44F4-A80D-07DFD77080AD}"/>
    <cellStyle name="Currency 5 14" xfId="1614" xr:uid="{95483439-5446-43A5-9E5C-E427F1DAF689}"/>
    <cellStyle name="Currency 5 15" xfId="1615" xr:uid="{52484E8E-464B-4AC2-A21E-5C765C4443AC}"/>
    <cellStyle name="Currency 5 16" xfId="1616" xr:uid="{C4647E8F-35A6-43BE-90E0-3863AA4C3A9F}"/>
    <cellStyle name="Currency 5 17" xfId="1617" xr:uid="{F2ACEE97-FE5D-4099-8597-DA10BF2B0029}"/>
    <cellStyle name="Currency 5 18" xfId="1618" xr:uid="{5EB41A07-DCF8-4B3B-8425-4EDF3187166D}"/>
    <cellStyle name="Currency 5 19" xfId="1619" xr:uid="{516B603C-E8F1-4F06-B63B-0168A3FD15A2}"/>
    <cellStyle name="Currency 5 2" xfId="1620" xr:uid="{623EED3E-FFBD-4D7E-A351-0CC43CDA8F79}"/>
    <cellStyle name="Currency 5 20" xfId="1621" xr:uid="{03273BD6-BC27-42B9-8A1F-6F6E8449C8B0}"/>
    <cellStyle name="Currency 5 21" xfId="1622" xr:uid="{CD3CD7B5-C57B-4B3C-A301-9526EFDD777B}"/>
    <cellStyle name="Currency 5 22" xfId="1623" xr:uid="{026E4876-EF7D-4427-968C-8082BB7408F0}"/>
    <cellStyle name="Currency 5 23" xfId="1624" xr:uid="{C0EF6C24-3C81-4DDE-86FB-AEE9E6CE7DDB}"/>
    <cellStyle name="Currency 5 24" xfId="1625" xr:uid="{B3EB3CB3-1FA3-44FD-9393-EDF5483A90AE}"/>
    <cellStyle name="Currency 5 25" xfId="1626" xr:uid="{BAD16872-EB1A-4B48-A871-478BAB77E132}"/>
    <cellStyle name="Currency 5 26" xfId="1627" xr:uid="{ACD81D47-35CD-493D-A4FA-C688D1870D0E}"/>
    <cellStyle name="Currency 5 27" xfId="1628" xr:uid="{E51DFF9C-46AA-4163-B0EC-8DEE5763FD21}"/>
    <cellStyle name="Currency 5 28" xfId="1629" xr:uid="{8387154B-45E3-42E7-A517-E8777B8430D3}"/>
    <cellStyle name="Currency 5 29" xfId="1630" xr:uid="{9E392B03-B1A7-4D19-9D7F-DDAB9860C5F4}"/>
    <cellStyle name="Currency 5 3" xfId="1631" xr:uid="{047B49C3-71C9-4BB4-8120-506F16BF0D85}"/>
    <cellStyle name="Currency 5 30" xfId="1632" xr:uid="{7E9E227C-4D6F-471D-A7D7-7950A06BDA19}"/>
    <cellStyle name="Currency 5 31" xfId="1633" xr:uid="{B43E2F81-6762-40E7-9CD2-4C86F4294B1D}"/>
    <cellStyle name="Currency 5 32" xfId="1634" xr:uid="{A3D9F27D-C1DD-4DE0-A692-72B87C903FA0}"/>
    <cellStyle name="Currency 5 33" xfId="1635" xr:uid="{DA03D30B-0F39-43B2-9BA5-63A924DAC3AF}"/>
    <cellStyle name="Currency 5 34" xfId="1636" xr:uid="{D8C31181-42F2-4D20-9297-E166565A6A10}"/>
    <cellStyle name="Currency 5 35" xfId="1637" xr:uid="{A0863711-62AE-4221-9E5C-FC9D1CA48AA0}"/>
    <cellStyle name="Currency 5 36" xfId="1638" xr:uid="{A803355E-8D07-426E-AD7F-44B65E54E5F6}"/>
    <cellStyle name="Currency 5 37" xfId="1639" xr:uid="{1F1ED586-258A-4149-AE3F-B3E5FFD9E39C}"/>
    <cellStyle name="Currency 5 38" xfId="1640" xr:uid="{CD0E628C-3492-467A-97EC-4F53A95F6A5A}"/>
    <cellStyle name="Currency 5 39" xfId="1641" xr:uid="{FD329DC7-DE7C-4128-8B4F-1B445C0AEDFB}"/>
    <cellStyle name="Currency 5 4" xfId="1642" xr:uid="{E3F0FA57-D8D4-4031-8797-D2077E371E3D}"/>
    <cellStyle name="Currency 5 40" xfId="1643" xr:uid="{B16E9FC1-A233-48BA-81A5-302F6911DBE1}"/>
    <cellStyle name="Currency 5 41" xfId="1644" xr:uid="{2FEBDE5F-9E91-403F-973B-C203B44DC60D}"/>
    <cellStyle name="Currency 5 42" xfId="1645" xr:uid="{F03E7DB0-A68D-43AA-A3B7-24559F07EBEC}"/>
    <cellStyle name="Currency 5 43" xfId="1646" xr:uid="{5E4C49CE-EB32-4E4C-93AC-8B855CC27A21}"/>
    <cellStyle name="Currency 5 44" xfId="1647" xr:uid="{8C0849B9-3A98-4E92-8CE2-C516DD112866}"/>
    <cellStyle name="Currency 5 45" xfId="1648" xr:uid="{FFF8F3CC-0D4C-423D-9B91-D97530D4843F}"/>
    <cellStyle name="Currency 5 46" xfId="1649" xr:uid="{076D6338-4347-4E43-858A-1188477C277D}"/>
    <cellStyle name="Currency 5 47" xfId="1650" xr:uid="{AD33C72A-FE1B-4D81-9A53-1F01C35E9162}"/>
    <cellStyle name="Currency 5 48" xfId="1651" xr:uid="{26C2E94A-4756-4760-969E-20C4EDD190C2}"/>
    <cellStyle name="Currency 5 49" xfId="1652" xr:uid="{C898FD3E-2372-455A-8A39-32E6BF14F119}"/>
    <cellStyle name="Currency 5 5" xfId="1653" xr:uid="{BCA63A09-26C3-4ECA-9654-CE895D45D683}"/>
    <cellStyle name="Currency 5 50" xfId="1654" xr:uid="{3C614193-BD6E-42E4-9F11-5BBA08CFEC13}"/>
    <cellStyle name="Currency 5 51" xfId="1655" xr:uid="{080D3A1A-047D-41A0-B34D-EB5E79E821EC}"/>
    <cellStyle name="Currency 5 52" xfId="1656" xr:uid="{A1A20C2D-134A-4956-A14B-40262A3AC4B6}"/>
    <cellStyle name="Currency 5 53" xfId="1657" xr:uid="{35CBA938-721D-405F-AFC9-14DB7EC813A6}"/>
    <cellStyle name="Currency 5 54" xfId="1658" xr:uid="{36EF4E39-DB8A-4F8D-B77E-E626A10524BE}"/>
    <cellStyle name="Currency 5 55" xfId="1659" xr:uid="{3CFA97CA-0753-467F-978B-F9780D96434E}"/>
    <cellStyle name="Currency 5 56" xfId="1660" xr:uid="{EDE34928-430D-4451-9243-2DD571BB591D}"/>
    <cellStyle name="Currency 5 57" xfId="1661" xr:uid="{37A9F1EA-C6EB-4148-AC1B-82C9AAD1D4BC}"/>
    <cellStyle name="Currency 5 58" xfId="1662" xr:uid="{117DA3C1-CE90-4997-913C-BC932086433A}"/>
    <cellStyle name="Currency 5 59" xfId="1663" xr:uid="{5B1C3C3C-151C-4B16-B942-BC41E556C372}"/>
    <cellStyle name="Currency 5 6" xfId="1664" xr:uid="{8B9BF669-6E40-42BF-B62A-48092D4F4151}"/>
    <cellStyle name="Currency 5 60" xfId="1665" xr:uid="{E5FDE2A2-325B-4F32-AE9A-70E0181D127C}"/>
    <cellStyle name="Currency 5 61" xfId="1666" xr:uid="{E7DA920A-2590-46DA-B0DC-14BB832D7F2F}"/>
    <cellStyle name="Currency 5 62" xfId="1667" xr:uid="{A4F831DA-3F01-4FB6-AF3F-CE39157B2A08}"/>
    <cellStyle name="Currency 5 63" xfId="1668" xr:uid="{DBADF709-CA59-4B91-A1CB-DCCE82AF4B1D}"/>
    <cellStyle name="Currency 5 64" xfId="1669" xr:uid="{175D827D-566D-44DA-BA69-C07F0DA7A648}"/>
    <cellStyle name="Currency 5 7" xfId="1670" xr:uid="{62EFA304-F426-4388-B40C-BE2101FC5CCA}"/>
    <cellStyle name="Currency 5 8" xfId="1671" xr:uid="{30A0A5E2-B5D3-40CB-97CA-41157E3359B2}"/>
    <cellStyle name="Currency 5 9" xfId="1672" xr:uid="{49DF069C-995F-4AA8-A849-B1F7F1C2CD00}"/>
    <cellStyle name="Currency 6" xfId="1673" xr:uid="{63C2D669-D993-4BF2-9E0B-1EA2C24A1FDA}"/>
    <cellStyle name="Currency 6 10" xfId="1674" xr:uid="{327FCA0D-B899-417A-902B-68AE2247B757}"/>
    <cellStyle name="Currency 6 11" xfId="1675" xr:uid="{40D09151-DDB6-42F8-BD6F-BFF5999EFBDC}"/>
    <cellStyle name="Currency 6 12" xfId="1676" xr:uid="{3D316859-7A8A-4536-8F83-3777FBF69BD0}"/>
    <cellStyle name="Currency 6 13" xfId="1677" xr:uid="{53CCE178-B228-4B35-A9F4-F1B1974219D1}"/>
    <cellStyle name="Currency 6 14" xfId="1678" xr:uid="{547D2577-2990-4B29-962E-FBB0CF618FF7}"/>
    <cellStyle name="Currency 6 15" xfId="1679" xr:uid="{A5D836FC-E4FC-43B8-87AA-9440C0C819EE}"/>
    <cellStyle name="Currency 6 16" xfId="1680" xr:uid="{1F75946E-D8B7-4B38-92DF-C587D15D2578}"/>
    <cellStyle name="Currency 6 17" xfId="1681" xr:uid="{74DC7A75-79AD-4034-986E-070D32C66F17}"/>
    <cellStyle name="Currency 6 18" xfId="1682" xr:uid="{96FD5023-D74C-4C3D-8075-1515C7D3E47B}"/>
    <cellStyle name="Currency 6 19" xfId="1683" xr:uid="{524FB1C8-C98C-476E-9800-CE20139FC403}"/>
    <cellStyle name="Currency 6 2" xfId="1684" xr:uid="{55909D3B-E08F-4352-B893-DEE6595618A0}"/>
    <cellStyle name="Currency 6 20" xfId="1685" xr:uid="{083A552D-1664-453B-B0F4-3C05CF219827}"/>
    <cellStyle name="Currency 6 21" xfId="1686" xr:uid="{42F2FCD2-2C89-4DF9-A8A4-2AFC4EF738F3}"/>
    <cellStyle name="Currency 6 22" xfId="1687" xr:uid="{5530B639-973F-40C8-84E9-491F183DAEE8}"/>
    <cellStyle name="Currency 6 23" xfId="1688" xr:uid="{ED2D1C86-954C-49F3-9FC6-4E8AE4B80202}"/>
    <cellStyle name="Currency 6 24" xfId="1689" xr:uid="{C25B2169-068D-4C5B-83C1-B7F9829DC11D}"/>
    <cellStyle name="Currency 6 25" xfId="1690" xr:uid="{0DC2F0DA-6961-448E-A9D8-5F3E7AC61F18}"/>
    <cellStyle name="Currency 6 26" xfId="1691" xr:uid="{D10D9B03-EB8F-47CA-91DB-06DB190E9992}"/>
    <cellStyle name="Currency 6 27" xfId="1692" xr:uid="{8A48FC7E-54E3-4AC7-90E4-3F3F6576DEB5}"/>
    <cellStyle name="Currency 6 28" xfId="1693" xr:uid="{1FBB31A7-ECE2-43F2-8947-9DF3E43AB775}"/>
    <cellStyle name="Currency 6 29" xfId="1694" xr:uid="{A4F1E51E-50A6-4F8A-A099-253ABCD23F3E}"/>
    <cellStyle name="Currency 6 3" xfId="1695" xr:uid="{F2C6186C-E6B9-48A8-9E15-BB137CDFD176}"/>
    <cellStyle name="Currency 6 30" xfId="1696" xr:uid="{2688BFAF-8C8F-46D9-B2B6-1FB4EEE6BC81}"/>
    <cellStyle name="Currency 6 31" xfId="1697" xr:uid="{6966FB39-51EB-4198-B3EB-DB5DF60FCE6B}"/>
    <cellStyle name="Currency 6 32" xfId="1698" xr:uid="{16682702-B10B-486C-931F-0EA4930E5655}"/>
    <cellStyle name="Currency 6 33" xfId="1699" xr:uid="{604711C8-7A37-44E1-B0B0-870C41BA3C65}"/>
    <cellStyle name="Currency 6 34" xfId="1700" xr:uid="{ECDFC81C-09C3-400A-97A7-C6AA96BB60B5}"/>
    <cellStyle name="Currency 6 35" xfId="1701" xr:uid="{1BA8320C-6C58-4F56-94EF-D7C1AB48534D}"/>
    <cellStyle name="Currency 6 36" xfId="1702" xr:uid="{97C099F5-9144-46DB-B07B-A4412E4C2D15}"/>
    <cellStyle name="Currency 6 37" xfId="1703" xr:uid="{06641ECE-F81E-4CFB-B118-CFFC9D65F76C}"/>
    <cellStyle name="Currency 6 38" xfId="1704" xr:uid="{175783A5-67E3-4071-8FB4-554B9EF7CCB1}"/>
    <cellStyle name="Currency 6 39" xfId="1705" xr:uid="{A50DCE97-7300-4CAB-B10F-7A0D22359985}"/>
    <cellStyle name="Currency 6 4" xfId="1706" xr:uid="{B5B77993-FE3F-4A6E-9EAC-18EFE4339512}"/>
    <cellStyle name="Currency 6 40" xfId="1707" xr:uid="{EB472C5A-6DB8-46C3-833F-F5197C89CAAA}"/>
    <cellStyle name="Currency 6 41" xfId="1708" xr:uid="{83F39476-C2BF-4173-8F32-30B0DA1D1A6C}"/>
    <cellStyle name="Currency 6 42" xfId="1709" xr:uid="{9A8FBD62-3966-47B6-BF05-30A4ECEB4C69}"/>
    <cellStyle name="Currency 6 43" xfId="1710" xr:uid="{5498050A-9808-4688-B112-6638D6653E52}"/>
    <cellStyle name="Currency 6 44" xfId="1711" xr:uid="{64145633-E6C3-40D8-B855-D4389697AC2F}"/>
    <cellStyle name="Currency 6 45" xfId="1712" xr:uid="{6E93DD62-2BF4-4A85-8E87-376A5AD145D9}"/>
    <cellStyle name="Currency 6 46" xfId="1713" xr:uid="{B38AC4AB-4989-4E01-A267-4207A493767B}"/>
    <cellStyle name="Currency 6 47" xfId="1714" xr:uid="{12D568D9-B89B-417E-A023-92988BFD440E}"/>
    <cellStyle name="Currency 6 48" xfId="1715" xr:uid="{E6B2BF0C-936B-48E2-97F6-05D1CD9D050E}"/>
    <cellStyle name="Currency 6 49" xfId="1716" xr:uid="{5091641E-A3F0-46B2-B4F6-C4D2F571DF48}"/>
    <cellStyle name="Currency 6 5" xfId="1717" xr:uid="{290EADD6-978B-4D75-B061-0B5D0D487FE3}"/>
    <cellStyle name="Currency 6 50" xfId="1718" xr:uid="{EFC0EF96-0FA7-49B0-ACFE-AB823E52BCEF}"/>
    <cellStyle name="Currency 6 51" xfId="1719" xr:uid="{CF53ECE6-7076-437A-ABDF-848408877DB3}"/>
    <cellStyle name="Currency 6 52" xfId="1720" xr:uid="{E386B549-47D1-48A4-9668-0E57BAFEE594}"/>
    <cellStyle name="Currency 6 53" xfId="1721" xr:uid="{C6142A86-0DFA-47F3-BCA6-835D57BECEA5}"/>
    <cellStyle name="Currency 6 54" xfId="1722" xr:uid="{EE168D28-68A7-44AF-B2AD-BB2E399C2EEE}"/>
    <cellStyle name="Currency 6 55" xfId="1723" xr:uid="{070B4215-54BA-439F-ACB1-F1DC25F47DFB}"/>
    <cellStyle name="Currency 6 56" xfId="1724" xr:uid="{CF83A5EE-063A-463D-AF0C-761482DB9BE5}"/>
    <cellStyle name="Currency 6 57" xfId="1725" xr:uid="{D19AFE24-4D2E-4686-999B-52F683C1FFA6}"/>
    <cellStyle name="Currency 6 58" xfId="1726" xr:uid="{2D682480-0A2D-4D9A-9D4B-5161AB2867AD}"/>
    <cellStyle name="Currency 6 59" xfId="1727" xr:uid="{9D953DA9-7B18-493C-BC2A-2ACDF1D5C592}"/>
    <cellStyle name="Currency 6 6" xfId="1728" xr:uid="{3FC1B1AA-44C9-4E4A-A1F4-A6AFBE5F8BE4}"/>
    <cellStyle name="Currency 6 60" xfId="1729" xr:uid="{2F601506-1671-4A9C-BE62-105618FB9903}"/>
    <cellStyle name="Currency 6 61" xfId="1730" xr:uid="{BAEAC23A-9484-4A92-9149-69CB856FFFB7}"/>
    <cellStyle name="Currency 6 62" xfId="1731" xr:uid="{59BB3F7D-15AF-4307-8BB4-E3EB71BADF11}"/>
    <cellStyle name="Currency 6 63" xfId="1732" xr:uid="{2386C42C-179C-4CFA-8B62-0E7D2937784B}"/>
    <cellStyle name="Currency 6 7" xfId="1733" xr:uid="{F9947E2C-894F-4D62-84A5-E936EF231526}"/>
    <cellStyle name="Currency 6 8" xfId="1734" xr:uid="{6CD5443F-177C-495B-968B-E3CA3272FD6A}"/>
    <cellStyle name="Currency 6 9" xfId="1735" xr:uid="{EF539F10-B645-4FF8-8796-B232C4E5B427}"/>
    <cellStyle name="Currency 7" xfId="1736" xr:uid="{855FC110-A84C-4D0D-93BA-E3B9A70A2A1D}"/>
    <cellStyle name="Currency 7 10" xfId="1737" xr:uid="{83312C26-57D4-45D8-9DB2-04F49DC5ACF1}"/>
    <cellStyle name="Currency 7 11" xfId="1738" xr:uid="{F3B45FF9-B4B3-4071-BD5C-E0FFAA7C2F87}"/>
    <cellStyle name="Currency 7 12" xfId="1739" xr:uid="{1DA0D3C2-92BB-4707-821F-F2B8E0F7C16D}"/>
    <cellStyle name="Currency 7 13" xfId="1740" xr:uid="{B342D8D6-FB66-4B40-A21D-2FAB062552DA}"/>
    <cellStyle name="Currency 7 14" xfId="1741" xr:uid="{BAD533FE-68AC-4B8D-809B-6856080EC065}"/>
    <cellStyle name="Currency 7 15" xfId="1742" xr:uid="{728D8DA9-A375-4ED5-BC8A-A316FC520BC8}"/>
    <cellStyle name="Currency 7 16" xfId="1743" xr:uid="{7E8ACE8E-1A62-4514-88F4-8993CB7B0F4B}"/>
    <cellStyle name="Currency 7 17" xfId="1744" xr:uid="{BAB93398-804D-44C9-917F-E2A3B3126EF7}"/>
    <cellStyle name="Currency 7 18" xfId="1745" xr:uid="{74A4F926-720A-4C3D-BC67-934EB4605470}"/>
    <cellStyle name="Currency 7 19" xfId="1746" xr:uid="{6B08B480-5B2A-475E-A22D-C0BA5E745449}"/>
    <cellStyle name="Currency 7 2" xfId="1747" xr:uid="{16BC01B9-2F18-430D-A8CD-BB7C3929A2EF}"/>
    <cellStyle name="Currency 7 20" xfId="1748" xr:uid="{82947C75-AD01-4B6B-B772-A228E3915779}"/>
    <cellStyle name="Currency 7 21" xfId="1749" xr:uid="{E70B9484-9670-4C95-9735-452A9039E269}"/>
    <cellStyle name="Currency 7 22" xfId="1750" xr:uid="{B774986F-5A19-4680-9122-7F52C8EC0524}"/>
    <cellStyle name="Currency 7 23" xfId="1751" xr:uid="{8F2D6D68-CA68-4564-8137-D5425279A303}"/>
    <cellStyle name="Currency 7 24" xfId="1752" xr:uid="{AB9C36F5-9EB5-428C-8BBB-1001D5CA79E0}"/>
    <cellStyle name="Currency 7 25" xfId="1753" xr:uid="{493E392B-17FE-477A-94C4-BE7342CDB9BC}"/>
    <cellStyle name="Currency 7 26" xfId="1754" xr:uid="{D25173CB-67BE-4377-B98C-FB1D880B897A}"/>
    <cellStyle name="Currency 7 27" xfId="1755" xr:uid="{9DBC859E-C245-4331-BDE0-FC0AA1A124A9}"/>
    <cellStyle name="Currency 7 28" xfId="1756" xr:uid="{84BDDC0C-EED1-4664-BB0E-70E8F07FCE66}"/>
    <cellStyle name="Currency 7 29" xfId="1757" xr:uid="{DC8523BE-F2A3-4AF1-8CE1-4DCD3CFA3F42}"/>
    <cellStyle name="Currency 7 3" xfId="1758" xr:uid="{80C5ED9C-587A-49D4-BB6F-7D11655BAA48}"/>
    <cellStyle name="Currency 7 30" xfId="1759" xr:uid="{77071503-2D36-4D7B-82E3-366D72037059}"/>
    <cellStyle name="Currency 7 31" xfId="1760" xr:uid="{D5685907-37D3-4B9E-803A-1E7B96D81C05}"/>
    <cellStyle name="Currency 7 32" xfId="1761" xr:uid="{1F2C85A3-264C-4457-B18A-B6D04C789A84}"/>
    <cellStyle name="Currency 7 33" xfId="1762" xr:uid="{B689379B-4F1D-4A72-BD07-C0DA92E04AD4}"/>
    <cellStyle name="Currency 7 34" xfId="1763" xr:uid="{B30F1BA6-960E-42AD-B1B2-271B84FFBDC1}"/>
    <cellStyle name="Currency 7 35" xfId="1764" xr:uid="{A91FD7C6-A7BC-467B-A93E-7390C5167C8A}"/>
    <cellStyle name="Currency 7 36" xfId="1765" xr:uid="{C5ED9B64-35C8-436F-B88D-D3E6D7108FD3}"/>
    <cellStyle name="Currency 7 37" xfId="1766" xr:uid="{47C7775B-C854-415C-9294-0B1F16C019E5}"/>
    <cellStyle name="Currency 7 38" xfId="1767" xr:uid="{5A04853C-A757-4344-B47A-1DE506F241DA}"/>
    <cellStyle name="Currency 7 39" xfId="1768" xr:uid="{47CB4AA2-4834-47F8-B1CA-214294BE8979}"/>
    <cellStyle name="Currency 7 4" xfId="1769" xr:uid="{5EFB3C4E-2F69-4908-9E06-05AF13466855}"/>
    <cellStyle name="Currency 7 40" xfId="1770" xr:uid="{EAD5A2EC-8AF3-4780-A570-8C08A1F6427E}"/>
    <cellStyle name="Currency 7 41" xfId="1771" xr:uid="{3CA0D18C-3B89-411E-BA37-807CB80CA879}"/>
    <cellStyle name="Currency 7 42" xfId="1772" xr:uid="{E6D06DEF-AEC6-4623-8F56-C246CF341EDB}"/>
    <cellStyle name="Currency 7 43" xfId="1773" xr:uid="{FDC963D2-E9BA-4DDD-9F51-FB515A8F0507}"/>
    <cellStyle name="Currency 7 44" xfId="1774" xr:uid="{347C9E1D-6214-4D4E-A764-8198643EBBD7}"/>
    <cellStyle name="Currency 7 45" xfId="1775" xr:uid="{A902E431-2A43-475D-90C9-7D03AFC06EFE}"/>
    <cellStyle name="Currency 7 46" xfId="1776" xr:uid="{A126CBC4-77F4-47B6-B32E-F82602078FE6}"/>
    <cellStyle name="Currency 7 47" xfId="1777" xr:uid="{6D364986-8350-433B-A786-CFB86080AFFE}"/>
    <cellStyle name="Currency 7 48" xfId="1778" xr:uid="{1E355729-D143-4115-AEC6-E3658C2FD16B}"/>
    <cellStyle name="Currency 7 49" xfId="1779" xr:uid="{C6ED649E-C1F4-42C0-848A-443CDF557264}"/>
    <cellStyle name="Currency 7 5" xfId="1780" xr:uid="{5BA5E2F5-3974-4668-9D69-0C7DCF4250BA}"/>
    <cellStyle name="Currency 7 50" xfId="1781" xr:uid="{706CEEF2-1269-44F7-B0DE-C35E376A049B}"/>
    <cellStyle name="Currency 7 51" xfId="1782" xr:uid="{FFA0B8E5-C9BB-4F0C-A927-BB134FDF057F}"/>
    <cellStyle name="Currency 7 52" xfId="1783" xr:uid="{68552072-78E6-4B32-8113-38C21E9B6960}"/>
    <cellStyle name="Currency 7 53" xfId="1784" xr:uid="{D96727DD-5EBF-4B84-A506-BEA0A6226A72}"/>
    <cellStyle name="Currency 7 54" xfId="1785" xr:uid="{870400B5-D528-47DB-9851-D066C41E89C9}"/>
    <cellStyle name="Currency 7 55" xfId="1786" xr:uid="{6E0F3A22-6A5B-48F0-B986-46F88525C9ED}"/>
    <cellStyle name="Currency 7 56" xfId="1787" xr:uid="{9C78BC4F-847A-4974-AB3E-03787B8BF0F8}"/>
    <cellStyle name="Currency 7 57" xfId="1788" xr:uid="{9C81E720-A6FE-47C4-A977-A487FD889B9F}"/>
    <cellStyle name="Currency 7 58" xfId="1789" xr:uid="{56D103F4-C9A6-40BD-BAD9-F05D018EDF02}"/>
    <cellStyle name="Currency 7 59" xfId="1790" xr:uid="{B3D38037-53D8-4336-AB6E-B55444ECF539}"/>
    <cellStyle name="Currency 7 6" xfId="1791" xr:uid="{6B3AED35-0788-4E43-AA35-0808C54C0300}"/>
    <cellStyle name="Currency 7 60" xfId="1792" xr:uid="{C9808DAD-2007-4C2F-AFD8-349E78B01BBF}"/>
    <cellStyle name="Currency 7 61" xfId="1793" xr:uid="{92680E7B-9356-4A44-9FCB-D2167CB5E4CD}"/>
    <cellStyle name="Currency 7 62" xfId="1794" xr:uid="{981586F8-A436-4748-8A2B-3DD8EE78DFB2}"/>
    <cellStyle name="Currency 7 63" xfId="1795" xr:uid="{8DB8D7BE-08ED-44D8-BB6C-DD5BC82B831A}"/>
    <cellStyle name="Currency 7 7" xfId="1796" xr:uid="{42D1456E-6652-43ED-BD95-3BE509D2B37E}"/>
    <cellStyle name="Currency 7 8" xfId="1797" xr:uid="{5DC6891F-2D27-4026-8F4C-C2C7DBB401D6}"/>
    <cellStyle name="Currency 7 9" xfId="1798" xr:uid="{715B82AB-5C7E-450F-B909-B83EDE0A815A}"/>
    <cellStyle name="Currency 8" xfId="1799" xr:uid="{30C70491-643B-4554-956B-42583919A7C0}"/>
    <cellStyle name="Currency 8 10" xfId="1800" xr:uid="{B56D4323-F847-4D68-994D-B6260DF88EF1}"/>
    <cellStyle name="Currency 8 11" xfId="1801" xr:uid="{D760445B-A2C2-4DBC-BD1B-41A6DC5F4212}"/>
    <cellStyle name="Currency 8 12" xfId="1802" xr:uid="{8423229F-4077-4791-B058-CCBFAC016AE7}"/>
    <cellStyle name="Currency 8 13" xfId="1803" xr:uid="{B3B9B7E1-B9B1-4E74-A662-BBEC84C16F92}"/>
    <cellStyle name="Currency 8 14" xfId="1804" xr:uid="{855CF1FA-5D0C-472B-BD2B-A0B08535F38B}"/>
    <cellStyle name="Currency 8 15" xfId="1805" xr:uid="{D60E858D-A78B-47FA-A421-B275C211EC2D}"/>
    <cellStyle name="Currency 8 16" xfId="1806" xr:uid="{079C98C4-CA20-446B-B052-913092C65752}"/>
    <cellStyle name="Currency 8 17" xfId="1807" xr:uid="{EDC8AE72-7981-4DFE-AABA-6D00BC6BEE06}"/>
    <cellStyle name="Currency 8 18" xfId="1808" xr:uid="{64659964-0198-4693-B67C-EB1D70B0BD1B}"/>
    <cellStyle name="Currency 8 19" xfId="1809" xr:uid="{2B27E0D1-B94A-465A-8037-BBDB83EEE91B}"/>
    <cellStyle name="Currency 8 2" xfId="1810" xr:uid="{B22A5172-B81B-43E0-94D4-84A2ADD2FC79}"/>
    <cellStyle name="Currency 8 20" xfId="1811" xr:uid="{99874C81-3175-4D22-B999-9A2DC99CC1DE}"/>
    <cellStyle name="Currency 8 21" xfId="1812" xr:uid="{80B0BF3E-F1C7-4509-923B-381F42C17421}"/>
    <cellStyle name="Currency 8 22" xfId="1813" xr:uid="{BE928A70-A964-4799-9F5D-12D861AB7D03}"/>
    <cellStyle name="Currency 8 23" xfId="1814" xr:uid="{0AB5ED44-509C-49AB-824E-DDAE10E3453C}"/>
    <cellStyle name="Currency 8 24" xfId="1815" xr:uid="{8D275BEF-BC7C-4082-8484-6B1E0E38FD12}"/>
    <cellStyle name="Currency 8 25" xfId="1816" xr:uid="{725F8469-C489-4BC5-8F25-F5671B81A243}"/>
    <cellStyle name="Currency 8 26" xfId="1817" xr:uid="{0790EEF3-3921-48A9-9444-4DBB745F946C}"/>
    <cellStyle name="Currency 8 27" xfId="1818" xr:uid="{02E680EF-B8C0-4FE6-AA67-328AD880DEC7}"/>
    <cellStyle name="Currency 8 28" xfId="1819" xr:uid="{577AD06C-6D10-401F-8F5C-4B0828F1318F}"/>
    <cellStyle name="Currency 8 29" xfId="1820" xr:uid="{9FC2B295-54E0-4680-BABB-A1FA08A2ACE9}"/>
    <cellStyle name="Currency 8 3" xfId="1821" xr:uid="{C4AC98E5-A57F-496E-9B1B-A977EC9DC69F}"/>
    <cellStyle name="Currency 8 30" xfId="1822" xr:uid="{8E44F4E7-E8AA-4A7C-8C85-4E0FF7788BD6}"/>
    <cellStyle name="Currency 8 31" xfId="1823" xr:uid="{435F7005-208B-43EA-AEAA-687AE8EC00FB}"/>
    <cellStyle name="Currency 8 32" xfId="1824" xr:uid="{A3C85B38-E1E6-4DE9-9ABD-5B4548A84872}"/>
    <cellStyle name="Currency 8 33" xfId="1825" xr:uid="{AF58F773-5B96-4B6F-8191-42FB1552BBD9}"/>
    <cellStyle name="Currency 8 34" xfId="1826" xr:uid="{E89BDD17-CF79-4F7B-85D7-1A1A0899884E}"/>
    <cellStyle name="Currency 8 35" xfId="1827" xr:uid="{6AC98353-AEB2-46B1-9602-F8FF5208EF0D}"/>
    <cellStyle name="Currency 8 36" xfId="1828" xr:uid="{EBFB0594-8805-4EC1-AD2A-58630C7D9466}"/>
    <cellStyle name="Currency 8 37" xfId="1829" xr:uid="{D3E1D9C1-BA84-4217-945F-60E8543A7339}"/>
    <cellStyle name="Currency 8 38" xfId="1830" xr:uid="{1D792B60-0949-4C59-BE59-D3D22448C450}"/>
    <cellStyle name="Currency 8 39" xfId="1831" xr:uid="{EBFF66A9-5506-4408-881B-5C69555EF38B}"/>
    <cellStyle name="Currency 8 4" xfId="1832" xr:uid="{89505CC1-0634-4B66-8E3F-E736DCABDCFC}"/>
    <cellStyle name="Currency 8 40" xfId="1833" xr:uid="{590B57AB-AE8A-48FE-B205-27D7795679D7}"/>
    <cellStyle name="Currency 8 41" xfId="1834" xr:uid="{B41B8AAB-5E1D-4BF1-842A-28EC57D6B7B5}"/>
    <cellStyle name="Currency 8 42" xfId="1835" xr:uid="{078F4355-02FA-4304-9EF0-35E27E52971B}"/>
    <cellStyle name="Currency 8 43" xfId="1836" xr:uid="{F86960B6-3CF6-4F6E-A1F4-6D96B2C68186}"/>
    <cellStyle name="Currency 8 44" xfId="1837" xr:uid="{6514FB11-9EB5-4AF0-A4E4-D22CB4C9FC04}"/>
    <cellStyle name="Currency 8 45" xfId="1838" xr:uid="{58D95C87-5F49-47D7-AE1A-2B0C150CC50F}"/>
    <cellStyle name="Currency 8 46" xfId="1839" xr:uid="{66B8AA16-FD4A-4C6E-96AE-AFD4F7A811E7}"/>
    <cellStyle name="Currency 8 47" xfId="1840" xr:uid="{0D0581A5-73C7-4B83-BE87-F854A4906336}"/>
    <cellStyle name="Currency 8 48" xfId="1841" xr:uid="{A7CAF54F-E456-4581-A514-597AFA4A2DE1}"/>
    <cellStyle name="Currency 8 49" xfId="1842" xr:uid="{DC9262E8-0957-4B62-B574-B20805424329}"/>
    <cellStyle name="Currency 8 5" xfId="1843" xr:uid="{0F7E71D4-E3CB-4DA3-A297-A3224E818C07}"/>
    <cellStyle name="Currency 8 50" xfId="1844" xr:uid="{01009B7D-2C3B-4C57-81EB-BC9614CBE5A7}"/>
    <cellStyle name="Currency 8 51" xfId="1845" xr:uid="{48F61878-3ACA-4C9C-9F7E-20B6EBE56765}"/>
    <cellStyle name="Currency 8 52" xfId="1846" xr:uid="{9DA0E612-036D-4FD7-A00F-66351A9E7151}"/>
    <cellStyle name="Currency 8 53" xfId="1847" xr:uid="{169F9DAE-50F0-4653-9A58-56843E8A9147}"/>
    <cellStyle name="Currency 8 54" xfId="1848" xr:uid="{F5312FE5-A6CE-44FF-9047-E389AB565125}"/>
    <cellStyle name="Currency 8 55" xfId="1849" xr:uid="{F6AF04FB-36CC-4DF4-A00B-02E2FD5BF74E}"/>
    <cellStyle name="Currency 8 56" xfId="1850" xr:uid="{49F70BC5-6E6F-45C3-8F2A-7D39879D55AC}"/>
    <cellStyle name="Currency 8 57" xfId="1851" xr:uid="{B5D1528E-F409-4F35-86FE-6D3836719AFF}"/>
    <cellStyle name="Currency 8 58" xfId="1852" xr:uid="{608C27B3-0120-48D2-B60A-6E3DA2F2D89B}"/>
    <cellStyle name="Currency 8 59" xfId="1853" xr:uid="{247D7A5D-9F7C-448F-B5D5-03F192F6C8F8}"/>
    <cellStyle name="Currency 8 6" xfId="1854" xr:uid="{865921F4-B940-48C0-BE8A-B4AB3E96A090}"/>
    <cellStyle name="Currency 8 60" xfId="1855" xr:uid="{1228470F-7DC5-4DC9-926F-5CC512958388}"/>
    <cellStyle name="Currency 8 61" xfId="1856" xr:uid="{9E0D2F73-A85A-40F8-B3B6-634796A53EDD}"/>
    <cellStyle name="Currency 8 62" xfId="1857" xr:uid="{6D066432-4A09-468A-97CC-669F9F6ED08F}"/>
    <cellStyle name="Currency 8 63" xfId="1858" xr:uid="{24C2797E-5167-4AF0-857A-766255EA044B}"/>
    <cellStyle name="Currency 8 64" xfId="1859" xr:uid="{23453DAD-2CE2-4428-B967-41FF7EB1607E}"/>
    <cellStyle name="Currency 8 7" xfId="1860" xr:uid="{0544E785-AF3E-40C4-A6B1-C0E582CCC8C7}"/>
    <cellStyle name="Currency 8 8" xfId="1861" xr:uid="{0B2508F4-81B1-475B-B0C8-A751D89FE130}"/>
    <cellStyle name="Currency 8 9" xfId="1862" xr:uid="{A1579481-A185-4E2E-AD7D-CE6A3964C94F}"/>
    <cellStyle name="Currency 9" xfId="33" xr:uid="{00000000-0005-0000-0000-00000A000000}"/>
    <cellStyle name="Currency 9 10" xfId="1863" xr:uid="{C7A45E6B-2CBD-4DEB-B2E0-86837EA3534C}"/>
    <cellStyle name="Currency 9 11" xfId="1864" xr:uid="{22656F05-8D24-4829-AEF1-E1F4D5DE55DB}"/>
    <cellStyle name="Currency 9 12" xfId="1865" xr:uid="{E463059B-FBD2-4A19-A33A-C8FAD2421335}"/>
    <cellStyle name="Currency 9 13" xfId="1866" xr:uid="{32E1471E-9528-4D30-8E5E-7494DBAE426C}"/>
    <cellStyle name="Currency 9 14" xfId="1867" xr:uid="{3D19DED1-F5F3-4A93-BA64-144F112DB8DC}"/>
    <cellStyle name="Currency 9 15" xfId="1868" xr:uid="{435A44FF-FAC7-4123-AF91-CF2E5C4C05EF}"/>
    <cellStyle name="Currency 9 16" xfId="1869" xr:uid="{ABA62A0B-8573-4A92-937F-4D01446B72F6}"/>
    <cellStyle name="Currency 9 17" xfId="1870" xr:uid="{113812D2-CA69-4564-8FA5-9DE76DFBAACD}"/>
    <cellStyle name="Currency 9 18" xfId="1871" xr:uid="{D88E2B50-FE71-4F5F-8986-EC4010EC5465}"/>
    <cellStyle name="Currency 9 19" xfId="1872" xr:uid="{E9B13EF9-E616-45F5-9670-B706FB2C7A13}"/>
    <cellStyle name="Currency 9 2" xfId="1873" xr:uid="{D218AD00-0509-424A-A1E2-DDC66BE8667F}"/>
    <cellStyle name="Currency 9 20" xfId="1874" xr:uid="{3BBE2C51-9CB6-4BFA-991B-FC4146B7613B}"/>
    <cellStyle name="Currency 9 21" xfId="1875" xr:uid="{52AEB9C3-7BF9-46CB-B151-F57D6B4DDF05}"/>
    <cellStyle name="Currency 9 22" xfId="1876" xr:uid="{4A0F720C-4E1F-4CB1-8731-9C1C5B16A4F9}"/>
    <cellStyle name="Currency 9 23" xfId="1877" xr:uid="{FD9BB6AD-A620-49FB-9AA2-D0E56ADBC02D}"/>
    <cellStyle name="Currency 9 24" xfId="1878" xr:uid="{90E6CD00-818E-49AA-9B10-1B583A9F4D31}"/>
    <cellStyle name="Currency 9 25" xfId="1879" xr:uid="{1702A32A-E65C-4F06-8DA4-025D38E42F8F}"/>
    <cellStyle name="Currency 9 26" xfId="1880" xr:uid="{D9A50D1C-79F1-4050-976F-0B89256F8814}"/>
    <cellStyle name="Currency 9 27" xfId="1881" xr:uid="{75F02096-4D78-4785-AA07-127F0713418D}"/>
    <cellStyle name="Currency 9 28" xfId="1882" xr:uid="{1ABFDAE3-BC4B-4502-BA32-05CCF8BE3A90}"/>
    <cellStyle name="Currency 9 29" xfId="1883" xr:uid="{9D555EAB-F6F1-45E2-B918-77687844B6EB}"/>
    <cellStyle name="Currency 9 3" xfId="1884" xr:uid="{BAF3C29C-17A3-4C6B-8F24-7411BB23E5E7}"/>
    <cellStyle name="Currency 9 30" xfId="1885" xr:uid="{8D3B9950-8173-4C5E-81BD-352BE5B7BAE1}"/>
    <cellStyle name="Currency 9 31" xfId="1886" xr:uid="{20F4091F-B508-4B42-AC02-A0478303E829}"/>
    <cellStyle name="Currency 9 32" xfId="1887" xr:uid="{4B38539D-53D7-41F6-9CF2-62386886C69F}"/>
    <cellStyle name="Currency 9 33" xfId="1888" xr:uid="{58242409-03FA-413E-AC04-CA311D162B89}"/>
    <cellStyle name="Currency 9 34" xfId="1889" xr:uid="{4CE4B712-5E8D-4CF9-AED3-59B9B1CC40A6}"/>
    <cellStyle name="Currency 9 35" xfId="1890" xr:uid="{C3988C12-5FCE-4567-B6FF-93355B8938C5}"/>
    <cellStyle name="Currency 9 36" xfId="1891" xr:uid="{D420BAB0-B282-43E3-A879-0ACB1AA53FD4}"/>
    <cellStyle name="Currency 9 37" xfId="1892" xr:uid="{D09761F9-0865-4F83-A48B-636C70C760AB}"/>
    <cellStyle name="Currency 9 38" xfId="1893" xr:uid="{3380F754-C280-41E4-A7FE-E7FBDE804599}"/>
    <cellStyle name="Currency 9 39" xfId="1894" xr:uid="{85AD8315-6348-4A2D-941E-0D404D81587B}"/>
    <cellStyle name="Currency 9 4" xfId="1895" xr:uid="{FD0AAF90-85E5-4E0E-BC0B-BAD782EBD938}"/>
    <cellStyle name="Currency 9 40" xfId="1896" xr:uid="{752BBE3E-D902-4246-9602-7DDC37C58F41}"/>
    <cellStyle name="Currency 9 41" xfId="1897" xr:uid="{D3B692B1-07BA-4008-BEB0-D064EF9EB679}"/>
    <cellStyle name="Currency 9 42" xfId="1898" xr:uid="{B6BE778E-428E-42D1-9671-45F36B06562E}"/>
    <cellStyle name="Currency 9 43" xfId="1899" xr:uid="{2BD92D37-A653-4AE3-887C-649C19B07CC5}"/>
    <cellStyle name="Currency 9 44" xfId="1900" xr:uid="{0033CB30-0104-49EF-B0E3-646C0E26E518}"/>
    <cellStyle name="Currency 9 45" xfId="1901" xr:uid="{256E59B3-D35E-491A-A77D-B3E8A9F0C89C}"/>
    <cellStyle name="Currency 9 46" xfId="1902" xr:uid="{ABCCDED8-B82F-4B57-8741-1E43E53A4F74}"/>
    <cellStyle name="Currency 9 47" xfId="1903" xr:uid="{EAA8175A-1236-4C35-8848-65166FCF9743}"/>
    <cellStyle name="Currency 9 48" xfId="1904" xr:uid="{D39BEC3A-97C0-4B85-89A4-65CCD0724D24}"/>
    <cellStyle name="Currency 9 49" xfId="1905" xr:uid="{D77F9B69-1A56-4D58-8D4F-B95D4440A0CC}"/>
    <cellStyle name="Currency 9 5" xfId="1906" xr:uid="{76DA9960-5A20-4FA9-AC80-C11FB181FF41}"/>
    <cellStyle name="Currency 9 50" xfId="1907" xr:uid="{EDD6D386-B571-4F25-9A37-794E5F559BAC}"/>
    <cellStyle name="Currency 9 51" xfId="1908" xr:uid="{73B3604A-F705-4F0E-B182-CE7928204D5A}"/>
    <cellStyle name="Currency 9 52" xfId="1909" xr:uid="{F5A9FE08-989E-42A0-AAED-58D13D10987E}"/>
    <cellStyle name="Currency 9 53" xfId="1910" xr:uid="{6A7DC709-2CA7-4AA0-9FAE-F057B282D7D4}"/>
    <cellStyle name="Currency 9 54" xfId="1911" xr:uid="{CFDDA2D1-B567-4C7E-9431-48958DB3A1C5}"/>
    <cellStyle name="Currency 9 55" xfId="1912" xr:uid="{CEF6BC93-6B8F-486F-B7A9-FDD8C2833C3B}"/>
    <cellStyle name="Currency 9 56" xfId="1913" xr:uid="{4720BEAD-A0BA-4FFB-B27B-943311708CF3}"/>
    <cellStyle name="Currency 9 57" xfId="1914" xr:uid="{E2549838-25D1-416D-B621-CC8AA81763DF}"/>
    <cellStyle name="Currency 9 58" xfId="1915" xr:uid="{E2DEF7F3-4549-4379-9193-B0F6A7011A78}"/>
    <cellStyle name="Currency 9 59" xfId="1916" xr:uid="{6B5ED8D9-D19D-41B6-99D7-9CFD1EAD8EFA}"/>
    <cellStyle name="Currency 9 6" xfId="1917" xr:uid="{CE136050-D6BF-47B6-B09E-14BD981D36EE}"/>
    <cellStyle name="Currency 9 60" xfId="1918" xr:uid="{55E38268-9367-4EDC-B845-BE05A1672C4B}"/>
    <cellStyle name="Currency 9 61" xfId="1919" xr:uid="{4CC8DF0E-2D03-47C8-A735-BF8CBAE3418E}"/>
    <cellStyle name="Currency 9 62" xfId="1920" xr:uid="{5163D598-3DCD-4848-96AE-BE8BB20D0D60}"/>
    <cellStyle name="Currency 9 63" xfId="1921" xr:uid="{893788C8-BB7E-451F-9EA5-67A94661CF3F}"/>
    <cellStyle name="Currency 9 7" xfId="1922" xr:uid="{DCFD6B6D-0002-48A2-8754-2A0DF98A21B4}"/>
    <cellStyle name="Currency 9 8" xfId="1923" xr:uid="{C9E61431-AABF-49D3-B7F4-DDC11C3F378D}"/>
    <cellStyle name="Currency 9 9" xfId="1924" xr:uid="{149B0AAE-7F79-49EF-B158-4B0AD977C643}"/>
    <cellStyle name="Double Line 25.5" xfId="1925" xr:uid="{AA683C36-C4CE-455C-8C91-F059EF008A86}"/>
    <cellStyle name="Extra space" xfId="1926" xr:uid="{52329BC4-4952-4C9B-8C41-15DBA60F1E62}"/>
    <cellStyle name="Hyperlink 2" xfId="65" xr:uid="{23724D1F-B306-4DB8-8AD1-BCF76EBCA685}"/>
    <cellStyle name="Hyperlink 2 2" xfId="1927" xr:uid="{A6A9ACD8-FC5E-47BD-A7A9-396A21B6EF63}"/>
    <cellStyle name="Hyperlink 3" xfId="1928" xr:uid="{DC535B3F-86D2-4D7D-8081-C178C074A220}"/>
    <cellStyle name="Item Tag" xfId="1929" xr:uid="{F9048260-DD96-480B-BFC2-AC78765AADAF}"/>
    <cellStyle name="Item Tag 2" xfId="2805" xr:uid="{3636C352-5F8A-48EA-B41B-80AD14B4DEBF}"/>
    <cellStyle name="Item Tag 3" xfId="2828" xr:uid="{93278DBB-16B9-4367-8B0D-6D3F6524F712}"/>
    <cellStyle name="Item Tag 3 2" xfId="2832" xr:uid="{93D7D9A8-5E67-4760-97AA-196108F17C7C}"/>
    <cellStyle name="Line (top, bottom heavy)" xfId="1930" xr:uid="{D89CB6A6-CC0F-457B-B5AA-ADB8146F2358}"/>
    <cellStyle name="Line (top, bottom heavy) 2" xfId="2806" xr:uid="{70363DC2-24C1-44F6-B2FE-B9A5C5E2A08F}"/>
    <cellStyle name="Normal" xfId="0" builtinId="0"/>
    <cellStyle name="Normal 10" xfId="1931" xr:uid="{DE68C562-8C58-44B0-99C4-32C4F7191CE6}"/>
    <cellStyle name="Normal 10 21 3" xfId="7" xr:uid="{00000000-0005-0000-0000-00000D000000}"/>
    <cellStyle name="Normal 11" xfId="1932" xr:uid="{557D2825-87AE-42A3-91AB-90ED66DF1707}"/>
    <cellStyle name="Normal 11 2" xfId="2824" xr:uid="{F49E13E5-B17A-4900-8BE4-77B105B9DCB3}"/>
    <cellStyle name="Normal 12" xfId="1933" xr:uid="{A450DBF4-5735-4495-9A47-32A0FB8FA421}"/>
    <cellStyle name="Normal 13" xfId="1934" xr:uid="{D53F851E-03DA-476A-BC0F-8A54D1ED064C}"/>
    <cellStyle name="Normal 14" xfId="2814" xr:uid="{CC449F08-1D34-4795-B216-6D7E824057D4}"/>
    <cellStyle name="Normal 14 2" xfId="2816" xr:uid="{526D4AB8-0149-49C0-B74A-444BF11874C8}"/>
    <cellStyle name="Normal 2" xfId="23" xr:uid="{00000000-0005-0000-0000-00000E000000}"/>
    <cellStyle name="Normal 2 14" xfId="46" xr:uid="{C102886F-4CCB-45CE-ADD5-7D8FF3F47544}"/>
    <cellStyle name="Normal 2 2" xfId="25" xr:uid="{00000000-0005-0000-0000-00000F000000}"/>
    <cellStyle name="Normal 2 2 2" xfId="1936" xr:uid="{DE83D606-768D-4D83-95C6-3C63581E2E3A}"/>
    <cellStyle name="Normal 2 2 2 145" xfId="2817" xr:uid="{4F4AF63C-E6F0-4820-B052-30AD9B7DFDD8}"/>
    <cellStyle name="Normal 2 3" xfId="59" xr:uid="{CC99B65C-C087-4DD5-AE3F-9FB2CF145263}"/>
    <cellStyle name="Normal 2 3 2" xfId="1937" xr:uid="{7AAC1F85-4366-44FF-A386-48AB67C573C5}"/>
    <cellStyle name="Normal 2 4" xfId="44" xr:uid="{E18F4483-3EAD-44F4-BBF5-0DDFCCA144EC}"/>
    <cellStyle name="Normal 2 5" xfId="1935" xr:uid="{B7BADE7A-9AA4-415F-9CFF-14A473B19BFF}"/>
    <cellStyle name="Normal 2 5 14" xfId="2825" xr:uid="{63C823D7-53CD-459B-B2DD-06380645640E}"/>
    <cellStyle name="Normal 2 5 14 2" xfId="2831" xr:uid="{DDDE1221-2347-439F-BC7B-0A4DE83724C7}"/>
    <cellStyle name="Normal 2 5 2" xfId="2819" xr:uid="{62D778D8-0B79-4F98-8C85-E2637A0653EB}"/>
    <cellStyle name="Normal 2 5 2 12 2" xfId="2822" xr:uid="{6268F387-F27D-4260-A253-C5937586317D}"/>
    <cellStyle name="Normal 2 6" xfId="2813" xr:uid="{B724BB11-2935-4F07-B6FF-D2BC81DF9457}"/>
    <cellStyle name="Normal 2 7" xfId="2815" xr:uid="{BB257AAE-47B1-4595-952E-CEE96FBA54C8}"/>
    <cellStyle name="Normal 2_4Q 2010 Non-GAAP Reconciliation_WEB" xfId="1938" xr:uid="{9B2DF4DD-84AD-47D8-AD8D-16F4B4EE5652}"/>
    <cellStyle name="Normal 208 2" xfId="57" xr:uid="{C94DC85F-373C-4CC1-A251-DF54E05F3BFB}"/>
    <cellStyle name="Normal 208 3" xfId="47" xr:uid="{EE8F461A-99CF-4D78-AD4E-798E244B2B48}"/>
    <cellStyle name="Normal 208 3 2" xfId="48" xr:uid="{5D794171-14B3-4E50-91FD-C638B44B8D9A}"/>
    <cellStyle name="Normal 209" xfId="17" xr:uid="{00000000-0005-0000-0000-000010000000}"/>
    <cellStyle name="Normal 21" xfId="41" xr:uid="{6D2FE9B4-7327-4671-8A95-64D895B93A5B}"/>
    <cellStyle name="Normal 210 2" xfId="58" xr:uid="{7A65748A-C3C8-4CFB-BD32-8084E86C9189}"/>
    <cellStyle name="Normal 210 3" xfId="49" xr:uid="{C96ED319-B4BB-4071-BBCE-C89918C7CF76}"/>
    <cellStyle name="Normal 210 3 2" xfId="50" xr:uid="{126EC275-2D3C-4F67-B7F7-2B2306DAD28E}"/>
    <cellStyle name="Normal 212" xfId="2811" xr:uid="{2D71382B-8862-4BA0-B590-0A8BA3F791CE}"/>
    <cellStyle name="Normal 215 3 2" xfId="2826" xr:uid="{8C9DC4D9-5B62-4F46-9D59-CA26C9E9AFEF}"/>
    <cellStyle name="Normal 22" xfId="13" xr:uid="{00000000-0005-0000-0000-000011000000}"/>
    <cellStyle name="Normal 22 11" xfId="51" xr:uid="{9AE7CF1C-75A6-4DE7-AB00-EF331C78509E}"/>
    <cellStyle name="Normal 23" xfId="15" xr:uid="{00000000-0005-0000-0000-000012000000}"/>
    <cellStyle name="Normal 23 2" xfId="42" xr:uid="{E938AB62-8C74-4B70-841C-CC728694AC86}"/>
    <cellStyle name="Normal 23 2 2" xfId="66" xr:uid="{1CA0E789-4CD2-42D1-AE89-361A5F9FC125}"/>
    <cellStyle name="Normal 23 2 3" xfId="52" xr:uid="{637BE801-FF98-427B-8DB2-876F1213D768}"/>
    <cellStyle name="Normal 24" xfId="34" xr:uid="{00000000-0005-0000-0000-000013000000}"/>
    <cellStyle name="Normal 3" xfId="4" xr:uid="{00000000-0005-0000-0000-000014000000}"/>
    <cellStyle name="Normal 3 10" xfId="1940" xr:uid="{51E9C0E3-8ACD-48C6-8393-141CC05F3BAF}"/>
    <cellStyle name="Normal 3 11" xfId="1941" xr:uid="{4970E047-9611-4422-A14B-F44B948B4256}"/>
    <cellStyle name="Normal 3 12" xfId="1942" xr:uid="{5A5A8E38-B8C5-45EB-899E-1E50F90793CC}"/>
    <cellStyle name="Normal 3 13" xfId="1943" xr:uid="{239B07C8-CC25-47B9-8D32-5B9CEB0D8815}"/>
    <cellStyle name="Normal 3 14" xfId="1944" xr:uid="{AC2F0A0C-FABC-48FA-A847-8E14D3EAA288}"/>
    <cellStyle name="Normal 3 15" xfId="1945" xr:uid="{9E798121-C08E-4315-A397-42AFFDEAB6DE}"/>
    <cellStyle name="Normal 3 16" xfId="1946" xr:uid="{3ADD06EF-861B-4653-B3DB-4145A2F86B5F}"/>
    <cellStyle name="Normal 3 17" xfId="1947" xr:uid="{B117B9E6-7142-4E04-AF43-181C2F81B534}"/>
    <cellStyle name="Normal 3 18" xfId="1948" xr:uid="{8E489148-BC30-4DEA-A774-EC639F909510}"/>
    <cellStyle name="Normal 3 19" xfId="1949" xr:uid="{9EA8298B-EF54-4133-9D00-1BC096B80855}"/>
    <cellStyle name="Normal 3 2" xfId="35" xr:uid="{00000000-0005-0000-0000-000015000000}"/>
    <cellStyle name="Normal 3 2 11 3" xfId="2830" xr:uid="{FBEA7160-4224-46C9-ADAE-DBFCEC2C13B1}"/>
    <cellStyle name="Normal 3 2 2" xfId="1950" xr:uid="{7C370F9C-FC29-4446-A7C0-F5024D4D5CDB}"/>
    <cellStyle name="Normal 3 2 3" xfId="53" xr:uid="{D67FC371-5B18-4B16-ACAE-C01685433DA5}"/>
    <cellStyle name="Normal 3 20" xfId="1951" xr:uid="{9FC439DC-0544-4D03-BD18-8D7D627C8C13}"/>
    <cellStyle name="Normal 3 21" xfId="1952" xr:uid="{7FA12EC9-8246-459C-8464-AC5D36185A04}"/>
    <cellStyle name="Normal 3 22" xfId="1953" xr:uid="{66C08E29-316C-4F05-9796-F1D76DDA73D4}"/>
    <cellStyle name="Normal 3 23" xfId="1954" xr:uid="{0946DFAB-C5DF-4122-8FD9-AF190EB9D691}"/>
    <cellStyle name="Normal 3 24" xfId="1955" xr:uid="{21DAD90F-8F3C-42CE-94B4-74CD84A7B310}"/>
    <cellStyle name="Normal 3 25" xfId="1956" xr:uid="{01A70813-ADC3-4B44-810A-1EFFD9AAC76D}"/>
    <cellStyle name="Normal 3 26" xfId="1957" xr:uid="{1F0FF94C-A84C-46F9-A41B-30C0624DAC63}"/>
    <cellStyle name="Normal 3 27" xfId="1958" xr:uid="{A2635DF2-AED5-442C-90F1-F346DE751C7D}"/>
    <cellStyle name="Normal 3 28" xfId="1959" xr:uid="{75D94BFB-0B41-4425-ABA7-79829C277687}"/>
    <cellStyle name="Normal 3 29" xfId="1960" xr:uid="{43468CA7-5322-4A12-AC1F-2E106ACDB95F}"/>
    <cellStyle name="Normal 3 3" xfId="1961" xr:uid="{217839FB-5873-4735-9364-FBA20D441EFC}"/>
    <cellStyle name="Normal 3 30" xfId="1962" xr:uid="{468C422B-D785-46FF-87CA-15DFBB9D5C80}"/>
    <cellStyle name="Normal 3 31" xfId="1963" xr:uid="{9109B663-6E5A-4BFC-AD8C-998C82450D4A}"/>
    <cellStyle name="Normal 3 32" xfId="1964" xr:uid="{34D8F83A-FE32-43F3-8FC8-74D17BD75BFB}"/>
    <cellStyle name="Normal 3 33" xfId="1965" xr:uid="{11752402-0823-4892-907B-9E2A653A326C}"/>
    <cellStyle name="Normal 3 34" xfId="1966" xr:uid="{46D292D7-9837-4BAE-9139-D1270A5DD4A0}"/>
    <cellStyle name="Normal 3 35" xfId="1967" xr:uid="{BBFE56EE-839B-4066-8CA2-C2DC4994B0CC}"/>
    <cellStyle name="Normal 3 36" xfId="1968" xr:uid="{8B1C5240-6FE7-49DE-AF0F-60AFDD51F697}"/>
    <cellStyle name="Normal 3 37" xfId="1969" xr:uid="{5C3ECB00-CF1C-455C-8A90-7C0F90577A39}"/>
    <cellStyle name="Normal 3 38" xfId="1970" xr:uid="{C8DAADCE-DB64-4B14-9D57-44780030AF87}"/>
    <cellStyle name="Normal 3 39" xfId="1971" xr:uid="{77446A77-6F9F-4AF4-9F11-2EF3481B7553}"/>
    <cellStyle name="Normal 3 4" xfId="1972" xr:uid="{1C643767-0C81-4A94-98B3-C7BB6D9919EE}"/>
    <cellStyle name="Normal 3 4 2" xfId="2818" xr:uid="{C9573B9C-8946-45BA-88EB-CFE95563EF36}"/>
    <cellStyle name="Normal 3 40" xfId="1973" xr:uid="{C9FDB1B5-9E38-47D1-881E-8787E0F81B82}"/>
    <cellStyle name="Normal 3 41" xfId="1974" xr:uid="{483A9815-62DD-46CF-AA59-BB594C197192}"/>
    <cellStyle name="Normal 3 42" xfId="1975" xr:uid="{B6A19663-283E-4A84-BAA8-C0F98630E496}"/>
    <cellStyle name="Normal 3 43" xfId="1976" xr:uid="{1E9F5B9F-512D-4B4C-BE1D-57C0571E69AC}"/>
    <cellStyle name="Normal 3 44" xfId="1977" xr:uid="{6B874DCB-B3B9-4FA7-A3D2-7688A7DC28BD}"/>
    <cellStyle name="Normal 3 45" xfId="1978" xr:uid="{CD00D614-50C0-438F-95E5-D1113E540308}"/>
    <cellStyle name="Normal 3 46" xfId="1979" xr:uid="{BDBC80A2-E6D7-434F-A09B-5D3B02854B04}"/>
    <cellStyle name="Normal 3 47" xfId="1980" xr:uid="{6BE7215A-FAF1-444E-835D-43EE717E6FC8}"/>
    <cellStyle name="Normal 3 48" xfId="1981" xr:uid="{91CCDCC9-3103-4843-992B-EEE0892736C6}"/>
    <cellStyle name="Normal 3 49" xfId="1982" xr:uid="{916F3771-C76B-4E9E-A424-C27D57783DA8}"/>
    <cellStyle name="Normal 3 5" xfId="1983" xr:uid="{AC5A6954-9EE2-4AF6-AACC-10AB0AA5D5BF}"/>
    <cellStyle name="Normal 3 50" xfId="1984" xr:uid="{78DBFFAC-4817-4E4D-96B3-324AB1095D33}"/>
    <cellStyle name="Normal 3 51" xfId="1985" xr:uid="{30E56421-7D8B-4DBC-9740-ECACBDF862FA}"/>
    <cellStyle name="Normal 3 52" xfId="1986" xr:uid="{811DDEBF-5401-4D78-88E6-EFB5AF569A5F}"/>
    <cellStyle name="Normal 3 53" xfId="1987" xr:uid="{8AEE6868-54A8-4F9A-9EF6-019583CAF8AD}"/>
    <cellStyle name="Normal 3 54" xfId="1988" xr:uid="{E001C1B9-16F2-432B-A17E-231DA3A6489F}"/>
    <cellStyle name="Normal 3 55" xfId="1989" xr:uid="{D6DD1224-C767-47AC-AAD1-8190287AC519}"/>
    <cellStyle name="Normal 3 56" xfId="1990" xr:uid="{1FF9F50F-BB51-484B-A8C7-EBA6E60F0CBD}"/>
    <cellStyle name="Normal 3 57" xfId="1991" xr:uid="{59F1B50C-3ED1-4349-9F41-C7743806B394}"/>
    <cellStyle name="Normal 3 58" xfId="1992" xr:uid="{0122E98A-98AE-4E38-B306-6733A4EC6F01}"/>
    <cellStyle name="Normal 3 59" xfId="1993" xr:uid="{84AF062F-6E69-4651-9C82-B636BD0B86CF}"/>
    <cellStyle name="Normal 3 6" xfId="1994" xr:uid="{CF84A039-7D6A-41AD-85EE-02BCB8BA2C5C}"/>
    <cellStyle name="Normal 3 60" xfId="1995" xr:uid="{F1EBDFCA-5FD1-4D9E-9313-88BBFBAC852B}"/>
    <cellStyle name="Normal 3 61" xfId="1996" xr:uid="{B58E9578-54AC-45F0-808F-C639FAAC7B1E}"/>
    <cellStyle name="Normal 3 62" xfId="1997" xr:uid="{A660483C-F940-4790-956E-E89EE557E81A}"/>
    <cellStyle name="Normal 3 63" xfId="1998" xr:uid="{F0E8A772-4DC7-4ED8-AE06-966797371226}"/>
    <cellStyle name="Normal 3 64" xfId="1999" xr:uid="{3232BD73-4C37-411F-863E-E98ADFCA49AD}"/>
    <cellStyle name="Normal 3 65" xfId="1939" xr:uid="{3A646D7C-B85E-4571-93F1-3DCE65D24035}"/>
    <cellStyle name="Normal 3 7" xfId="2000" xr:uid="{68877C5A-06E5-4621-AA06-34E31F4E4EEC}"/>
    <cellStyle name="Normal 3 8" xfId="2001" xr:uid="{993A3F93-7452-4397-BB02-DDEE955341DF}"/>
    <cellStyle name="Normal 3 9" xfId="2002" xr:uid="{4FD115DE-A551-465C-A2BD-3F29118E8041}"/>
    <cellStyle name="Normal 4" xfId="36" xr:uid="{00000000-0005-0000-0000-000016000000}"/>
    <cellStyle name="Normal 4 10" xfId="2004" xr:uid="{D591CC8D-7297-4789-9165-083F5EC261AC}"/>
    <cellStyle name="Normal 4 11" xfId="2005" xr:uid="{C394F9E0-9CCE-4C02-8E85-AA0CB6AFCD74}"/>
    <cellStyle name="Normal 4 12" xfId="2006" xr:uid="{9CA8D899-4D3F-446D-BDC9-AD761BB26AB4}"/>
    <cellStyle name="Normal 4 13" xfId="2007" xr:uid="{51511A60-682F-4A37-9A9F-EC6332E63058}"/>
    <cellStyle name="Normal 4 14" xfId="2008" xr:uid="{43D1DF7A-E6C6-4C59-AD69-CA697F6CD82D}"/>
    <cellStyle name="Normal 4 15" xfId="2009" xr:uid="{D314A1F2-E57D-4B10-9768-7D4F4E245B27}"/>
    <cellStyle name="Normal 4 16" xfId="2010" xr:uid="{0565244F-2E94-432C-ACC2-5A5F9921A5B1}"/>
    <cellStyle name="Normal 4 17" xfId="2011" xr:uid="{8E940F20-B36C-49D2-BEDD-E9544963D77E}"/>
    <cellStyle name="Normal 4 18" xfId="2012" xr:uid="{08B28173-5BB7-47DE-A7E1-C025E4CF2859}"/>
    <cellStyle name="Normal 4 19" xfId="2013" xr:uid="{8BFC6E88-6983-4C9B-8492-8CA7D26FCE5E}"/>
    <cellStyle name="Normal 4 2" xfId="43" xr:uid="{34698352-96FC-4769-AFC8-77C6A75B4A60}"/>
    <cellStyle name="Normal 4 2 2" xfId="60" xr:uid="{3EF2B62F-129B-4EF2-BA9D-339FFA9525EA}"/>
    <cellStyle name="Normal 4 2 3" xfId="2014" xr:uid="{E7BDA08C-DE6C-4A4C-8059-B3F476A464CF}"/>
    <cellStyle name="Normal 4 2 4" xfId="77" xr:uid="{D8F38982-F3B1-4707-9C19-A07ECFC4F8C0}"/>
    <cellStyle name="Normal 4 20" xfId="2015" xr:uid="{71EDE950-DD52-46AB-B4FF-7AF83B036232}"/>
    <cellStyle name="Normal 4 21" xfId="2016" xr:uid="{B3C7DC3C-F652-4246-A7B2-5FA0963B66EE}"/>
    <cellStyle name="Normal 4 22" xfId="2017" xr:uid="{6682C655-CF0C-4BE0-841F-8A3CFF3BDE6A}"/>
    <cellStyle name="Normal 4 23" xfId="2018" xr:uid="{8F91C28A-E3FB-4620-A107-CFB20FDA27EE}"/>
    <cellStyle name="Normal 4 24" xfId="2019" xr:uid="{2AFB6800-3B7B-4DA1-8B7E-6BE98129BDFB}"/>
    <cellStyle name="Normal 4 25" xfId="2020" xr:uid="{04E1EB13-84F5-4DFA-A48F-880610368F20}"/>
    <cellStyle name="Normal 4 26" xfId="2021" xr:uid="{F94E0448-EC02-4BAD-9B04-D7B1B567FB6C}"/>
    <cellStyle name="Normal 4 27" xfId="2022" xr:uid="{FACEDA58-9AEF-4D60-9002-AC96F4BF51C7}"/>
    <cellStyle name="Normal 4 28" xfId="2023" xr:uid="{6F831920-FE0A-481B-B6EC-9A8E8853EBFB}"/>
    <cellStyle name="Normal 4 29" xfId="2024" xr:uid="{3652CF69-D3BB-4147-9139-E8A60CB325D4}"/>
    <cellStyle name="Normal 4 3" xfId="68" xr:uid="{6849024C-F8DB-456C-B26A-882671215C39}"/>
    <cellStyle name="Normal 4 3 2" xfId="2025" xr:uid="{9688E199-FE9E-49F8-AC5A-36C6965214F6}"/>
    <cellStyle name="Normal 4 3 3" xfId="80" xr:uid="{206026C1-7B02-4D94-811A-D9D74F7071CF}"/>
    <cellStyle name="Normal 4 30" xfId="2026" xr:uid="{7FC24DC6-683A-4373-AF4B-619374145A9E}"/>
    <cellStyle name="Normal 4 31" xfId="2027" xr:uid="{99E41761-A06C-4D00-8700-8B9AFAAE0BB7}"/>
    <cellStyle name="Normal 4 32" xfId="2028" xr:uid="{75250E33-0D12-443E-B216-FC71D6BB83AB}"/>
    <cellStyle name="Normal 4 33" xfId="2029" xr:uid="{33D52A4C-B2DC-401B-87B3-E3DABF60A7D8}"/>
    <cellStyle name="Normal 4 34" xfId="2030" xr:uid="{1C245471-E74B-4BAD-867F-5C29BD31B720}"/>
    <cellStyle name="Normal 4 35" xfId="2031" xr:uid="{3D0DB3C9-F995-4A9F-814C-D466EEA7F289}"/>
    <cellStyle name="Normal 4 36" xfId="2032" xr:uid="{0F619A8F-DBE4-4F69-99D2-7430D4D8E7D4}"/>
    <cellStyle name="Normal 4 37" xfId="2033" xr:uid="{E87F6A79-2D96-470B-9248-E05A888A8455}"/>
    <cellStyle name="Normal 4 38" xfId="2034" xr:uid="{A021A291-F948-4734-8AA2-2E04D5E86053}"/>
    <cellStyle name="Normal 4 39" xfId="2035" xr:uid="{1EF82C0C-C84B-4225-B9FC-BEBB261981E6}"/>
    <cellStyle name="Normal 4 4" xfId="45" xr:uid="{D8FC88DC-30CC-4380-A2FA-2E332F4D0A9E}"/>
    <cellStyle name="Normal 4 4 2" xfId="2036" xr:uid="{1D77C37B-C5B7-48E2-99A1-9BB4B0C91F70}"/>
    <cellStyle name="Normal 4 4 8" xfId="2821" xr:uid="{16DF9209-519D-4D14-BBBD-B41A7BB32694}"/>
    <cellStyle name="Normal 4 40" xfId="2037" xr:uid="{66A6A192-CC49-4AFD-974E-677ED396E88A}"/>
    <cellStyle name="Normal 4 41" xfId="2038" xr:uid="{FB6588D2-506F-478F-B4DC-78E07C73EB92}"/>
    <cellStyle name="Normal 4 42" xfId="2039" xr:uid="{F30EF909-7DE4-429C-8A39-D005A265B0CE}"/>
    <cellStyle name="Normal 4 43" xfId="2040" xr:uid="{9A3C552E-EEA5-4A14-8BA3-7AD20096C67F}"/>
    <cellStyle name="Normal 4 44" xfId="2041" xr:uid="{6424F0D4-2344-42B5-A9ED-33BD30921562}"/>
    <cellStyle name="Normal 4 45" xfId="2042" xr:uid="{2B85DCFA-1A28-488E-9045-DF7514E767D8}"/>
    <cellStyle name="Normal 4 46" xfId="2043" xr:uid="{FFD359F7-AC69-403E-8538-ABCA5C8F4CAE}"/>
    <cellStyle name="Normal 4 47" xfId="2044" xr:uid="{908349A5-A9EB-44A7-BCCB-11AE75BD9552}"/>
    <cellStyle name="Normal 4 48" xfId="2045" xr:uid="{A4DB1D56-ACE6-41AF-B817-515FE1C3711A}"/>
    <cellStyle name="Normal 4 49" xfId="2046" xr:uid="{78D805AE-61A8-4C4C-96C4-A52963D03875}"/>
    <cellStyle name="Normal 4 5" xfId="73" xr:uid="{487821FC-C08F-428C-A237-24F8584D456A}"/>
    <cellStyle name="Normal 4 5 2" xfId="2047" xr:uid="{690EB985-7740-450B-AC00-31AF9BDFBE16}"/>
    <cellStyle name="Normal 4 50" xfId="2048" xr:uid="{C52FB08E-2837-49A3-9D1E-3F3F61DFD25C}"/>
    <cellStyle name="Normal 4 51" xfId="2049" xr:uid="{B7D118A0-C2FB-4E46-85A0-016ACC48B1C4}"/>
    <cellStyle name="Normal 4 52" xfId="2050" xr:uid="{A2D17668-65FC-4429-9C55-3A6DB000782F}"/>
    <cellStyle name="Normal 4 53" xfId="2051" xr:uid="{34383D34-A8F4-437E-A113-1D0A0DB02E3A}"/>
    <cellStyle name="Normal 4 54" xfId="2052" xr:uid="{315E5E0A-961D-48B6-B776-E0A934A54280}"/>
    <cellStyle name="Normal 4 55" xfId="2053" xr:uid="{8A33C2D9-42E0-4275-AB07-F8980C53B1EF}"/>
    <cellStyle name="Normal 4 56" xfId="2054" xr:uid="{2B06119C-BDF8-4AF8-BF81-7AC77124A746}"/>
    <cellStyle name="Normal 4 57" xfId="2055" xr:uid="{7B5230F2-415F-4382-AD28-F25FEDA0B968}"/>
    <cellStyle name="Normal 4 58" xfId="2056" xr:uid="{7BCF7412-B70D-4576-B6E3-A47C51726045}"/>
    <cellStyle name="Normal 4 59" xfId="2057" xr:uid="{3AC5E4ED-6F71-466F-A628-3A659AA928BB}"/>
    <cellStyle name="Normal 4 6" xfId="2058" xr:uid="{8FC0223B-7B2E-4EFF-B24E-91058EF0BC71}"/>
    <cellStyle name="Normal 4 60" xfId="2059" xr:uid="{EE9040BF-8E8A-4CCF-941A-CC6E5BF6AD82}"/>
    <cellStyle name="Normal 4 61" xfId="2060" xr:uid="{FA4B128F-C994-4BBE-9ECC-29CD01ABB265}"/>
    <cellStyle name="Normal 4 62" xfId="2061" xr:uid="{B1196E18-9582-44FF-85CF-39058D8854DF}"/>
    <cellStyle name="Normal 4 63" xfId="2062" xr:uid="{C878E49E-A51D-49DA-88D1-5D49C01C31DE}"/>
    <cellStyle name="Normal 4 64" xfId="2063" xr:uid="{CC9335CC-61DB-4CFB-89C8-B7C91CF52F99}"/>
    <cellStyle name="Normal 4 65" xfId="2064" xr:uid="{B09332C1-D103-48C8-9015-9B95F939557A}"/>
    <cellStyle name="Normal 4 66" xfId="2003" xr:uid="{5C915E8A-45B8-4CF4-BDFF-9409717F4CCC}"/>
    <cellStyle name="Normal 4 67" xfId="69" xr:uid="{D5332CBB-4B7E-4977-835F-706AF675CD44}"/>
    <cellStyle name="Normal 4 7" xfId="2065" xr:uid="{D5D78268-967E-4C30-A558-CDD1E32AD3C6}"/>
    <cellStyle name="Normal 4 8" xfId="2066" xr:uid="{4F2F8DC5-D9E5-4D74-B7F3-7871B58F41D5}"/>
    <cellStyle name="Normal 4 9" xfId="2067" xr:uid="{1A56873B-F412-4728-8EC3-BD1595FDC4DC}"/>
    <cellStyle name="Normal 5" xfId="54" xr:uid="{308F4EDB-1BB4-4399-91E4-71E6EA0DF19A}"/>
    <cellStyle name="Normal 5 10" xfId="2069" xr:uid="{A3AF4B0E-B506-4C21-A963-4D5ABE648A49}"/>
    <cellStyle name="Normal 5 11" xfId="2070" xr:uid="{DFA53C77-010D-47CD-AC92-3BBF9474B5DD}"/>
    <cellStyle name="Normal 5 12" xfId="2071" xr:uid="{703F37F2-CF77-482A-8429-445AE8CA6344}"/>
    <cellStyle name="Normal 5 13" xfId="2072" xr:uid="{037A023B-BE25-4EF5-90FC-603809A11CF0}"/>
    <cellStyle name="Normal 5 14" xfId="2073" xr:uid="{084DD9D2-83D0-4CBB-860C-5F2BE63E288A}"/>
    <cellStyle name="Normal 5 15" xfId="2074" xr:uid="{96B32435-6463-42D2-BB5A-F21095B780F8}"/>
    <cellStyle name="Normal 5 16" xfId="2075" xr:uid="{5AC55766-6669-43F5-A03A-A711EB488803}"/>
    <cellStyle name="Normal 5 17" xfId="2076" xr:uid="{D388B321-2555-4578-B817-224794CF2E15}"/>
    <cellStyle name="Normal 5 18" xfId="2077" xr:uid="{52DFB1D1-BF2A-4B33-AC23-748F485A4B8C}"/>
    <cellStyle name="Normal 5 19" xfId="2078" xr:uid="{027E172D-7773-4DC0-B921-7B2E9BEB9558}"/>
    <cellStyle name="Normal 5 2" xfId="61" xr:uid="{AE0DA112-2AAC-434D-B91D-657A5E386237}"/>
    <cellStyle name="Normal 5 2 2" xfId="2079" xr:uid="{5F192B72-FA0F-47B0-A280-166E0D32972D}"/>
    <cellStyle name="Normal 5 2 3" xfId="79" xr:uid="{9D664801-95D8-4AD8-943A-83E7B1E1ED30}"/>
    <cellStyle name="Normal 5 20" xfId="2080" xr:uid="{8DB09F38-28DE-42E3-8D75-3F098875C67E}"/>
    <cellStyle name="Normal 5 21" xfId="2081" xr:uid="{D604507F-2058-421A-9390-5685D8E63909}"/>
    <cellStyle name="Normal 5 22" xfId="2082" xr:uid="{0AD81705-F3AF-4A42-AD99-C7E18F7069E1}"/>
    <cellStyle name="Normal 5 23" xfId="2083" xr:uid="{C8CC6516-8D88-46D6-82BB-61722A657747}"/>
    <cellStyle name="Normal 5 24" xfId="2084" xr:uid="{3B37C802-79D7-4AB3-B17E-2296F19BF1A4}"/>
    <cellStyle name="Normal 5 25" xfId="2085" xr:uid="{6CFCA533-5ADC-42A5-BB38-B74C9057B3E8}"/>
    <cellStyle name="Normal 5 26" xfId="2086" xr:uid="{E4722997-C326-47CB-A6E5-60D20E23A78D}"/>
    <cellStyle name="Normal 5 27" xfId="2087" xr:uid="{E07EDE9C-582E-47F6-BADF-77FFF05C49D6}"/>
    <cellStyle name="Normal 5 28" xfId="2088" xr:uid="{50AADD31-EE8D-4753-A989-AC86B05274CF}"/>
    <cellStyle name="Normal 5 29" xfId="2089" xr:uid="{F6590284-9E40-419A-B296-40357CC3CE68}"/>
    <cellStyle name="Normal 5 3" xfId="2090" xr:uid="{8FACF839-28E8-4EBF-BB89-AB1983CB83CD}"/>
    <cellStyle name="Normal 5 30" xfId="2091" xr:uid="{752F611D-34BA-4784-9F98-3D0D3CC07E5F}"/>
    <cellStyle name="Normal 5 31" xfId="2092" xr:uid="{FA4EC6F0-7F28-4CEA-8096-6B626BE041BC}"/>
    <cellStyle name="Normal 5 32" xfId="2093" xr:uid="{04403743-D58C-44E7-83B8-52F09F1091B4}"/>
    <cellStyle name="Normal 5 33" xfId="2094" xr:uid="{7F9562E2-226A-4B00-B5DA-6EE75B442DE1}"/>
    <cellStyle name="Normal 5 34" xfId="2095" xr:uid="{E6DD12C3-5E95-4A7C-9097-15F01D76A382}"/>
    <cellStyle name="Normal 5 35" xfId="2096" xr:uid="{4840DD37-C092-45CA-B871-7477EA8C7B16}"/>
    <cellStyle name="Normal 5 36" xfId="2097" xr:uid="{8D898D53-6622-446B-8102-9166F3E58548}"/>
    <cellStyle name="Normal 5 37" xfId="2098" xr:uid="{0A41A746-BE50-438F-AA7C-02072B0A41E0}"/>
    <cellStyle name="Normal 5 38" xfId="2099" xr:uid="{A1231A7A-133E-460E-B871-000CFB3E163C}"/>
    <cellStyle name="Normal 5 39" xfId="2100" xr:uid="{F049E9A7-768D-442F-94AB-DEE8D6D752C0}"/>
    <cellStyle name="Normal 5 4" xfId="2101" xr:uid="{9F875FEF-1117-404B-89F7-5E2D152E5229}"/>
    <cellStyle name="Normal 5 40" xfId="2102" xr:uid="{80516355-7CC3-409F-9563-AA56815AEC01}"/>
    <cellStyle name="Normal 5 41" xfId="2103" xr:uid="{567AF0B1-2165-41AB-9874-7B2340B275DD}"/>
    <cellStyle name="Normal 5 42" xfId="2104" xr:uid="{FC0B6577-92AF-410A-BDFF-5E57E9FD4606}"/>
    <cellStyle name="Normal 5 43" xfId="2105" xr:uid="{DC9F6105-3A75-48FB-9713-2D8A766AE504}"/>
    <cellStyle name="Normal 5 44" xfId="2106" xr:uid="{C61195D7-EF4D-432C-A8CD-B8FB09EBD32E}"/>
    <cellStyle name="Normal 5 45" xfId="2107" xr:uid="{DC148913-A487-47FE-8014-409AF03E7435}"/>
    <cellStyle name="Normal 5 46" xfId="2108" xr:uid="{D85FBFA0-BFAA-4504-A8CA-50BC0E8E8516}"/>
    <cellStyle name="Normal 5 47" xfId="2109" xr:uid="{3E6F2728-7116-4472-9A33-B934C34A29F1}"/>
    <cellStyle name="Normal 5 48" xfId="2110" xr:uid="{372DDB34-B209-4079-8C30-2142E59F7708}"/>
    <cellStyle name="Normal 5 49" xfId="2111" xr:uid="{FCC1E94E-D751-4CAD-A6C1-5296BA039B97}"/>
    <cellStyle name="Normal 5 5" xfId="2112" xr:uid="{B5804FD8-AB36-4465-8769-7D1620129712}"/>
    <cellStyle name="Normal 5 50" xfId="2113" xr:uid="{D5675ABD-6263-41C6-86EE-940C184F3F03}"/>
    <cellStyle name="Normal 5 51" xfId="2114" xr:uid="{AC0D72BE-44A1-42E7-8D5C-1DDD6FEA1E7B}"/>
    <cellStyle name="Normal 5 52" xfId="2115" xr:uid="{76718072-6F34-4873-9876-1E3B9ADB1A72}"/>
    <cellStyle name="Normal 5 53" xfId="2116" xr:uid="{5664C366-CCCE-4185-9EEB-F95293D5FF00}"/>
    <cellStyle name="Normal 5 54" xfId="2117" xr:uid="{EC5ABC00-A1BC-4608-9400-EA1C7AA0AD17}"/>
    <cellStyle name="Normal 5 55" xfId="2118" xr:uid="{9C068401-8AFC-4057-928D-0490AE8F3B15}"/>
    <cellStyle name="Normal 5 56" xfId="2119" xr:uid="{367531ED-F18F-4D47-8A76-9367C2E444F3}"/>
    <cellStyle name="Normal 5 57" xfId="2120" xr:uid="{5F45613B-5BF6-4CA0-96ED-5FFEB4C0E81D}"/>
    <cellStyle name="Normal 5 58" xfId="2121" xr:uid="{3837E866-E58B-4A77-8CBE-DCDBDEDDB2DD}"/>
    <cellStyle name="Normal 5 59" xfId="2122" xr:uid="{C8C40790-749B-407D-8B95-7687AB2F4F86}"/>
    <cellStyle name="Normal 5 6" xfId="2123" xr:uid="{5F8C85AD-5974-414F-A29A-F36645BAEA4C}"/>
    <cellStyle name="Normal 5 60" xfId="2124" xr:uid="{A702F624-C969-42E0-A9E5-1AED7C2A2D4D}"/>
    <cellStyle name="Normal 5 61" xfId="2125" xr:uid="{0C6C2689-6B1C-47DE-8A15-D11AC8E1F324}"/>
    <cellStyle name="Normal 5 62" xfId="2126" xr:uid="{7EB48C51-D208-45EB-B48E-AE4627423FC1}"/>
    <cellStyle name="Normal 5 63" xfId="2127" xr:uid="{33F5A8C3-85E2-4C61-9251-A1C68DCE1CA0}"/>
    <cellStyle name="Normal 5 64" xfId="2128" xr:uid="{D01E8E79-7306-47FA-8283-99C2F2A78A29}"/>
    <cellStyle name="Normal 5 65" xfId="2129" xr:uid="{11AE31C0-725A-45C4-BC3F-788DA79CEF6E}"/>
    <cellStyle name="Normal 5 66" xfId="2068" xr:uid="{E2011DC9-2BF5-446C-BDD6-7366B624C065}"/>
    <cellStyle name="Normal 5 67" xfId="78" xr:uid="{5779F58E-B42C-4D01-96C8-39BBD6A8A59C}"/>
    <cellStyle name="Normal 5 68" xfId="2812" xr:uid="{A349F767-0337-4AC4-B5EE-A6EF0D110E87}"/>
    <cellStyle name="Normal 5 7" xfId="2130" xr:uid="{5F0BE055-0DF2-434C-8460-F30209CD279E}"/>
    <cellStyle name="Normal 5 8" xfId="2131" xr:uid="{E3ADA08E-B873-4D4D-A6D3-49BD75E7A07C}"/>
    <cellStyle name="Normal 5 9" xfId="2132" xr:uid="{1BDD8844-1014-46C5-AF33-5C0390D7CBBE}"/>
    <cellStyle name="Normal 6" xfId="63" xr:uid="{56C14A3E-F790-48E2-96D2-63C53504B514}"/>
    <cellStyle name="Normal 6 10" xfId="2134" xr:uid="{8FD5770D-537D-4202-A2A4-C25FBBE28AD3}"/>
    <cellStyle name="Normal 6 11" xfId="2135" xr:uid="{848BFE2F-20E4-4AA1-8D41-622BC3FF5C6C}"/>
    <cellStyle name="Normal 6 12" xfId="2136" xr:uid="{AC4FB4CF-E66E-4A8C-BCF1-C5474D8E63C5}"/>
    <cellStyle name="Normal 6 13" xfId="2137" xr:uid="{BFAC0B62-0499-4A8C-9BDA-4BD841D0BAB8}"/>
    <cellStyle name="Normal 6 14" xfId="2138" xr:uid="{9863BB3E-95C7-478D-812C-C935B1ADFE8E}"/>
    <cellStyle name="Normal 6 15" xfId="2139" xr:uid="{C421B1FA-25E3-4593-9238-E169678D5B4D}"/>
    <cellStyle name="Normal 6 16" xfId="2140" xr:uid="{9EF2BA18-039A-4947-AF51-92C1D2C107D2}"/>
    <cellStyle name="Normal 6 17" xfId="2141" xr:uid="{E3412A44-DD61-4CA7-A8C1-FF797954AE94}"/>
    <cellStyle name="Normal 6 18" xfId="2142" xr:uid="{D5E17AF6-FDD5-4FF1-A2E8-40A5A9C172C8}"/>
    <cellStyle name="Normal 6 19" xfId="2143" xr:uid="{2E8B853D-BC38-491A-9DEC-74CD1BEC7D87}"/>
    <cellStyle name="Normal 6 2" xfId="2144" xr:uid="{C92EBA00-6F5B-45A7-8AB7-CF7377DC61CD}"/>
    <cellStyle name="Normal 6 20" xfId="2145" xr:uid="{FA565A4A-981D-4F3A-9840-7053F67743D3}"/>
    <cellStyle name="Normal 6 21" xfId="2146" xr:uid="{D0AFF7B5-F47F-4415-9189-ACAC731839F8}"/>
    <cellStyle name="Normal 6 22" xfId="2147" xr:uid="{EBFB3D16-82D0-4202-ACF6-87BE656B4C77}"/>
    <cellStyle name="Normal 6 23" xfId="2148" xr:uid="{59ADC4D2-80F8-4A85-B52B-D192C97369D1}"/>
    <cellStyle name="Normal 6 24" xfId="2149" xr:uid="{BC965200-3D6F-4FF0-B67C-1680F84068D6}"/>
    <cellStyle name="Normal 6 25" xfId="2150" xr:uid="{936E988B-445A-40AA-81E7-F8AD0FAEEC98}"/>
    <cellStyle name="Normal 6 26" xfId="2151" xr:uid="{D67BBC4B-8817-4DCE-9BAF-766BFBE86685}"/>
    <cellStyle name="Normal 6 27" xfId="2152" xr:uid="{1FD8CAB3-0D2C-4061-86B2-871BAEC76C09}"/>
    <cellStyle name="Normal 6 28" xfId="2153" xr:uid="{D66649F4-9D2B-4087-AA7F-19D42176AFF4}"/>
    <cellStyle name="Normal 6 29" xfId="2154" xr:uid="{114E11D7-8107-4DA7-AA80-F79AF2C3F16D}"/>
    <cellStyle name="Normal 6 3" xfId="2155" xr:uid="{83965E5D-9DD5-40BB-BAC1-379F56A22178}"/>
    <cellStyle name="Normal 6 30" xfId="2156" xr:uid="{3FE7C699-1523-47C3-9029-04D86FA5B1C6}"/>
    <cellStyle name="Normal 6 31" xfId="2157" xr:uid="{6F26D7F2-F024-433E-8636-8DA79EAFFCA5}"/>
    <cellStyle name="Normal 6 32" xfId="2158" xr:uid="{EC7B1425-A820-4C40-AEE7-EC1DAE671A0D}"/>
    <cellStyle name="Normal 6 33" xfId="2159" xr:uid="{D22B2C8E-0A67-4DBA-9663-EE95CED0826E}"/>
    <cellStyle name="Normal 6 34" xfId="2160" xr:uid="{91BD86C2-1125-48B5-AD6D-A5367C0E9C69}"/>
    <cellStyle name="Normal 6 35" xfId="2161" xr:uid="{71E40706-A2B5-42A4-9022-053CF66D2B58}"/>
    <cellStyle name="Normal 6 36" xfId="2162" xr:uid="{8FF48F97-AFF7-4E85-81BE-038404A3A59A}"/>
    <cellStyle name="Normal 6 37" xfId="2163" xr:uid="{410EB956-8D31-4A1F-824F-F85AFAD02C7F}"/>
    <cellStyle name="Normal 6 38" xfId="2164" xr:uid="{BEB08073-E5CC-4573-B981-5753921A1305}"/>
    <cellStyle name="Normal 6 39" xfId="2165" xr:uid="{F19080AF-3987-4360-AF27-61079A637991}"/>
    <cellStyle name="Normal 6 4" xfId="2166" xr:uid="{68BF49E4-C08F-4600-9C65-5861318832E7}"/>
    <cellStyle name="Normal 6 40" xfId="2167" xr:uid="{894436EE-B00D-42F5-A1C7-D349DB8A2CE7}"/>
    <cellStyle name="Normal 6 41" xfId="2168" xr:uid="{C17A8AAC-25B9-42B1-BA00-F3C74E423F92}"/>
    <cellStyle name="Normal 6 42" xfId="2169" xr:uid="{8BEE925F-7E64-4E06-B64A-94086DD35C35}"/>
    <cellStyle name="Normal 6 43" xfId="2170" xr:uid="{9318C51A-47F4-454C-89A7-D7FC8346C6A5}"/>
    <cellStyle name="Normal 6 44" xfId="2171" xr:uid="{B155A8C6-AAC5-467A-A4E8-6DE5275394C4}"/>
    <cellStyle name="Normal 6 45" xfId="2172" xr:uid="{AF8E73EA-0352-4D9C-A210-128A1E25566E}"/>
    <cellStyle name="Normal 6 46" xfId="2173" xr:uid="{5B1F3C57-0D3F-4182-88D3-489FBC40D715}"/>
    <cellStyle name="Normal 6 47" xfId="2174" xr:uid="{05F5F50E-A746-43A9-8C55-37C143F13608}"/>
    <cellStyle name="Normal 6 48" xfId="2175" xr:uid="{7C6F284A-EFD3-4DEF-8E81-D156B484781B}"/>
    <cellStyle name="Normal 6 49" xfId="2176" xr:uid="{767143CE-1487-44A2-9559-B4E04A0495C9}"/>
    <cellStyle name="Normal 6 5" xfId="2177" xr:uid="{2C819A7A-5B78-4475-9D68-2BCF046B7B4B}"/>
    <cellStyle name="Normal 6 50" xfId="2178" xr:uid="{60177095-58E3-4CB6-BAF8-A4CE71E9B120}"/>
    <cellStyle name="Normal 6 51" xfId="2179" xr:uid="{A08706E9-4C3D-4D06-8DD4-67932FCC24E2}"/>
    <cellStyle name="Normal 6 52" xfId="2180" xr:uid="{79B9D7E4-9F3F-4325-B605-2D52AC14FE72}"/>
    <cellStyle name="Normal 6 53" xfId="2181" xr:uid="{0499ED00-D906-4D39-9938-70D2B27799D5}"/>
    <cellStyle name="Normal 6 54" xfId="2182" xr:uid="{C3CAA816-930F-4A09-8867-0FD535483629}"/>
    <cellStyle name="Normal 6 55" xfId="2183" xr:uid="{E5D44CA8-3F84-46E9-9C91-4BA694C09ACC}"/>
    <cellStyle name="Normal 6 56" xfId="2184" xr:uid="{9961D063-45C6-454F-8ABE-BC486C57D57A}"/>
    <cellStyle name="Normal 6 57" xfId="2185" xr:uid="{497DE1DA-6D11-46E1-8F03-09DE16491710}"/>
    <cellStyle name="Normal 6 58" xfId="2186" xr:uid="{6A528192-FDC9-4192-85AB-3984CB7E7CC5}"/>
    <cellStyle name="Normal 6 59" xfId="2187" xr:uid="{C788187C-3183-45A3-A5A2-FA50406D7225}"/>
    <cellStyle name="Normal 6 6" xfId="2188" xr:uid="{FFF66BE5-F5D3-4893-96AB-7ED26635D56F}"/>
    <cellStyle name="Normal 6 60" xfId="2189" xr:uid="{DEE825AF-57FD-4CC0-AE08-A43C9B20DD9A}"/>
    <cellStyle name="Normal 6 61" xfId="2190" xr:uid="{C6CCA150-0FBF-4896-8354-4C1F039BBB30}"/>
    <cellStyle name="Normal 6 62" xfId="2191" xr:uid="{B7A59B3D-BA27-461D-8DBF-05E13619393D}"/>
    <cellStyle name="Normal 6 63" xfId="2192" xr:uid="{9D2E39A8-83AF-42E0-B267-449BBC9CE1CB}"/>
    <cellStyle name="Normal 6 64" xfId="2133" xr:uid="{FF233292-8CEC-4F41-BEBA-45017D5C4A6C}"/>
    <cellStyle name="Normal 6 7" xfId="2193" xr:uid="{B530D0BE-5B39-4901-B7BC-C011E03CB0A2}"/>
    <cellStyle name="Normal 6 8" xfId="2194" xr:uid="{47133C65-DEDF-44B3-8243-92530BE242E1}"/>
    <cellStyle name="Normal 6 9" xfId="2195" xr:uid="{8D424C40-1586-41E5-82F5-2152C0223B2D}"/>
    <cellStyle name="Normal 7" xfId="2196" xr:uid="{D79040DA-3D41-4048-8962-95156F081EA5}"/>
    <cellStyle name="Normal 8" xfId="2197" xr:uid="{A315FF1C-F2E6-4DE2-8B50-642B9978779F}"/>
    <cellStyle name="Normal 8 10" xfId="2198" xr:uid="{7445EF19-263B-414B-B317-AF4C87DCAA68}"/>
    <cellStyle name="Normal 8 11" xfId="2199" xr:uid="{D080A38B-D97D-4F0F-8589-F5C804654227}"/>
    <cellStyle name="Normal 8 12" xfId="2200" xr:uid="{BFF2F056-1899-4436-B0E6-4C840B4B9F25}"/>
    <cellStyle name="Normal 8 13" xfId="2201" xr:uid="{CEEB02B3-ADED-44F9-85C4-4096F99D7D69}"/>
    <cellStyle name="Normal 8 14" xfId="2202" xr:uid="{CB8BC19E-47E9-4F76-9C4B-E9229A253952}"/>
    <cellStyle name="Normal 8 15" xfId="2203" xr:uid="{1886A2A5-92AC-42EF-B7CE-D450919A13B7}"/>
    <cellStyle name="Normal 8 16" xfId="2204" xr:uid="{2BA0A51F-BFAB-4F04-B2BD-8F77A76C0F47}"/>
    <cellStyle name="Normal 8 17" xfId="2205" xr:uid="{2903869D-3781-4BBE-AD31-208092EFD8BF}"/>
    <cellStyle name="Normal 8 18" xfId="2206" xr:uid="{FDAAC16E-3E0B-40F9-BEBF-853D7CA07C74}"/>
    <cellStyle name="Normal 8 19" xfId="2207" xr:uid="{79F35C24-825E-4BFE-B7DA-CFD37286F42A}"/>
    <cellStyle name="Normal 8 2" xfId="2208" xr:uid="{64C4D354-4778-4093-BFCF-EDCD1CBCF61C}"/>
    <cellStyle name="Normal 8 20" xfId="2209" xr:uid="{4CDB95DD-AEB3-4D2F-B261-F6BF9911DA4A}"/>
    <cellStyle name="Normal 8 21" xfId="2210" xr:uid="{159B0DC2-FDCB-43BC-92FE-ED6CDE3461FB}"/>
    <cellStyle name="Normal 8 22" xfId="2211" xr:uid="{C16CA315-8FFC-4002-847D-3F736DC2FA43}"/>
    <cellStyle name="Normal 8 23" xfId="2212" xr:uid="{98AA0FE3-2818-41E0-8C85-BB790CEA47FD}"/>
    <cellStyle name="Normal 8 24" xfId="2213" xr:uid="{FD5F160A-17AE-4A51-8F7B-558FB777280A}"/>
    <cellStyle name="Normal 8 25" xfId="2214" xr:uid="{92FB0755-4EDA-498B-A188-ECFD4C8908C6}"/>
    <cellStyle name="Normal 8 26" xfId="2215" xr:uid="{7BA207DC-5218-4649-8B4A-455A052252A9}"/>
    <cellStyle name="Normal 8 27" xfId="2216" xr:uid="{1C6DE8A2-D69C-4E0B-9B45-443FAAEE1B2F}"/>
    <cellStyle name="Normal 8 28" xfId="2217" xr:uid="{7044082B-F70B-4DF5-A35A-6A74167E3C34}"/>
    <cellStyle name="Normal 8 29" xfId="2218" xr:uid="{42F64B32-7579-41AD-9955-8D987805921F}"/>
    <cellStyle name="Normal 8 3" xfId="2219" xr:uid="{BC6442F9-3048-4D2A-88D9-324B5F7DE651}"/>
    <cellStyle name="Normal 8 3 10" xfId="2220" xr:uid="{6076B706-3E06-4230-B475-592BAC0E1B61}"/>
    <cellStyle name="Normal 8 3 11" xfId="2221" xr:uid="{1D74E6A0-2DC7-48CB-B657-D30FD4B98CAA}"/>
    <cellStyle name="Normal 8 3 12" xfId="2222" xr:uid="{E0555869-BCA9-4CEC-84DD-8B21077E0CC9}"/>
    <cellStyle name="Normal 8 3 13" xfId="2223" xr:uid="{FA95118B-0797-4E30-A619-098DCB7FE6CC}"/>
    <cellStyle name="Normal 8 3 14" xfId="2224" xr:uid="{8B9B0139-1838-4AD7-828D-C03E85056DF1}"/>
    <cellStyle name="Normal 8 3 15" xfId="2225" xr:uid="{F4FA9F35-C2DB-4C0D-9346-F5AD2EDBBB40}"/>
    <cellStyle name="Normal 8 3 16" xfId="2226" xr:uid="{432B4467-4DEF-41E4-9272-BF9D71B8A2DD}"/>
    <cellStyle name="Normal 8 3 17" xfId="2227" xr:uid="{A5E65720-AB50-4E5C-A4CC-46E371B3BE82}"/>
    <cellStyle name="Normal 8 3 18" xfId="2228" xr:uid="{EA41BF2B-AD27-436F-806E-2E30537B1A14}"/>
    <cellStyle name="Normal 8 3 19" xfId="2229" xr:uid="{59D1F575-F74B-4FF8-993A-7A05E0D79325}"/>
    <cellStyle name="Normal 8 3 2" xfId="2230" xr:uid="{81AFD40E-90BA-42BA-BACB-3E3AD9559BFA}"/>
    <cellStyle name="Normal 8 3 20" xfId="2231" xr:uid="{C6B72E78-DD32-49ED-9D47-2D5F87865D53}"/>
    <cellStyle name="Normal 8 3 21" xfId="2232" xr:uid="{8EA64AD6-8BAF-487E-A0DA-33BF84B8FA07}"/>
    <cellStyle name="Normal 8 3 22" xfId="2233" xr:uid="{D7831883-ACD7-4840-A221-91EE0C66707C}"/>
    <cellStyle name="Normal 8 3 23" xfId="2234" xr:uid="{17EB3D68-6546-4239-BB3F-F1765B8A66D1}"/>
    <cellStyle name="Normal 8 3 24" xfId="2235" xr:uid="{BA89BB53-DED4-4225-94EE-ED147FE662B5}"/>
    <cellStyle name="Normal 8 3 25" xfId="2236" xr:uid="{FBFA4DDF-A507-477F-92D7-4336B17D2608}"/>
    <cellStyle name="Normal 8 3 26" xfId="2237" xr:uid="{87DEA360-2D58-4406-B659-B92B33567798}"/>
    <cellStyle name="Normal 8 3 3" xfId="2238" xr:uid="{5D8ECDDA-420C-4BA2-BF9D-9289CB273DA9}"/>
    <cellStyle name="Normal 8 3 4" xfId="2239" xr:uid="{A1A358AF-384D-474B-A7F4-5689DA8ABF4B}"/>
    <cellStyle name="Normal 8 3 5" xfId="2240" xr:uid="{B7E8387A-8939-468F-BFCF-BD128E4E829E}"/>
    <cellStyle name="Normal 8 3 6" xfId="2241" xr:uid="{8834A0DC-FBDB-4B1A-A32A-86B67D97EB68}"/>
    <cellStyle name="Normal 8 3 7" xfId="2242" xr:uid="{129F6B7E-2134-4B6B-962E-745A01D57661}"/>
    <cellStyle name="Normal 8 3 8" xfId="2243" xr:uid="{41DB18D9-7F66-4D89-BC75-180C9A3A2B63}"/>
    <cellStyle name="Normal 8 3 9" xfId="2244" xr:uid="{0DB1360C-E279-4662-BE91-4879871916BF}"/>
    <cellStyle name="Normal 8 30" xfId="2245" xr:uid="{EF33FCF4-9B49-4E5C-A8D4-3882B4A06D94}"/>
    <cellStyle name="Normal 8 31" xfId="2246" xr:uid="{840F9934-22E7-4456-A011-8AC229AD67D5}"/>
    <cellStyle name="Normal 8 32" xfId="2247" xr:uid="{3788FF2D-A1B3-4148-B770-1A8926F1F03D}"/>
    <cellStyle name="Normal 8 33" xfId="2248" xr:uid="{EA719E05-CA26-4803-895E-7463DBD09211}"/>
    <cellStyle name="Normal 8 34" xfId="2249" xr:uid="{DEE61D7C-5E26-4262-82FC-3B089AFBB8D7}"/>
    <cellStyle name="Normal 8 35" xfId="2250" xr:uid="{27B0ED76-A86A-4EC4-AC51-9B11EACEA4D5}"/>
    <cellStyle name="Normal 8 36" xfId="2251" xr:uid="{209AC56A-E629-4963-AE9C-BA6A7507F728}"/>
    <cellStyle name="Normal 8 37" xfId="2252" xr:uid="{D5731528-D274-4D8E-887E-9ED219ED7028}"/>
    <cellStyle name="Normal 8 38" xfId="2253" xr:uid="{02CBC082-F984-43AE-9E6D-3B5928CB2DE5}"/>
    <cellStyle name="Normal 8 39" xfId="2254" xr:uid="{713EDE39-96C9-4BF5-86EC-9C5E9A8C07B6}"/>
    <cellStyle name="Normal 8 4" xfId="2255" xr:uid="{B05C2750-9094-4BFC-B19F-2F2C75CF9DEF}"/>
    <cellStyle name="Normal 8 40" xfId="2256" xr:uid="{F0DD7DBF-E4B9-46F0-8A48-1DBD7E5CC698}"/>
    <cellStyle name="Normal 8 41" xfId="2257" xr:uid="{9903130C-A6AD-4433-9A27-4487973565F1}"/>
    <cellStyle name="Normal 8 42" xfId="2258" xr:uid="{AC045644-7F45-4DBB-8A97-6F865AD3AD73}"/>
    <cellStyle name="Normal 8 43" xfId="2259" xr:uid="{298F767B-7713-4476-904C-8787FECB5E4F}"/>
    <cellStyle name="Normal 8 44" xfId="2260" xr:uid="{C7575224-83A3-4DA1-8A8C-D672B4A87577}"/>
    <cellStyle name="Normal 8 45" xfId="2261" xr:uid="{28856864-DD8A-4919-A463-BC516554D762}"/>
    <cellStyle name="Normal 8 46" xfId="2262" xr:uid="{42917919-DC72-4E3B-B772-6240FD519E64}"/>
    <cellStyle name="Normal 8 47" xfId="2263" xr:uid="{5399A9CA-EA15-4BE0-8AD9-07C5542871F3}"/>
    <cellStyle name="Normal 8 48" xfId="2264" xr:uid="{5F0477A1-BDB1-4135-BC09-0F381082AE47}"/>
    <cellStyle name="Normal 8 49" xfId="2265" xr:uid="{EB6D4857-CD5A-4BC8-B679-A861EE8D859A}"/>
    <cellStyle name="Normal 8 5" xfId="2266" xr:uid="{54EE2141-82F2-400F-97DB-D235E7F151A5}"/>
    <cellStyle name="Normal 8 5 10" xfId="2267" xr:uid="{DCED8730-4341-4701-8A99-B27EB5E41778}"/>
    <cellStyle name="Normal 8 5 11" xfId="2268" xr:uid="{FBE1F7D3-F1D3-4133-A76C-F9FAE0013BB7}"/>
    <cellStyle name="Normal 8 5 12" xfId="2269" xr:uid="{B0411466-E62B-4E2D-9A8A-36A790A4D890}"/>
    <cellStyle name="Normal 8 5 13" xfId="2270" xr:uid="{A53C40F5-CD1E-4A7C-99A3-725301F0909F}"/>
    <cellStyle name="Normal 8 5 14" xfId="2271" xr:uid="{465BB248-F91C-4EC1-8109-B8D726DEF879}"/>
    <cellStyle name="Normal 8 5 15" xfId="2272" xr:uid="{D5D51534-8BBF-4D96-BF86-745A75FE4765}"/>
    <cellStyle name="Normal 8 5 16" xfId="2273" xr:uid="{8DBC9E58-C3CF-44CE-8545-300E795B2470}"/>
    <cellStyle name="Normal 8 5 17" xfId="2274" xr:uid="{E7ADFB0B-205A-4A6A-B087-341C25A3260C}"/>
    <cellStyle name="Normal 8 5 18" xfId="2275" xr:uid="{06BC38B0-E013-4ADE-93F9-21762F3785EC}"/>
    <cellStyle name="Normal 8 5 19" xfId="2276" xr:uid="{A1E58F59-557A-49F9-91A1-C2284DC8B9A1}"/>
    <cellStyle name="Normal 8 5 2" xfId="2277" xr:uid="{A7275CD6-B09A-425D-8F4D-942CE326C589}"/>
    <cellStyle name="Normal 8 5 20" xfId="2278" xr:uid="{580562C8-F492-4600-A343-96EC6060B79D}"/>
    <cellStyle name="Normal 8 5 21" xfId="2279" xr:uid="{AE78E047-94D5-40EF-90F6-A2E5C3113212}"/>
    <cellStyle name="Normal 8 5 22" xfId="2280" xr:uid="{5754D645-5EC1-48AD-B051-2F489EA0C7DF}"/>
    <cellStyle name="Normal 8 5 23" xfId="2281" xr:uid="{C6A37DF9-8A9E-4F01-AD48-C3B7253D9239}"/>
    <cellStyle name="Normal 8 5 24" xfId="2282" xr:uid="{1F9A6B96-4CA1-4282-A7AF-A7D8A8788D28}"/>
    <cellStyle name="Normal 8 5 25" xfId="2283" xr:uid="{39416D71-BFBE-4C1E-B802-F3BB8821DE9A}"/>
    <cellStyle name="Normal 8 5 26" xfId="2284" xr:uid="{C7EB9E99-A0C9-4BF9-A817-A4E56FF12A24}"/>
    <cellStyle name="Normal 8 5 27" xfId="2285" xr:uid="{69403A62-8E61-4A80-80CB-9B17C78B8CB8}"/>
    <cellStyle name="Normal 8 5 28" xfId="2286" xr:uid="{5284BD02-723F-4675-9F91-E63A3174CC43}"/>
    <cellStyle name="Normal 8 5 29" xfId="2287" xr:uid="{576BDFBF-28A2-4F5D-AEDD-0CE18F997E57}"/>
    <cellStyle name="Normal 8 5 3" xfId="2288" xr:uid="{7A4EA8AD-B35F-4140-96BE-299073A364BE}"/>
    <cellStyle name="Normal 8 5 30" xfId="2289" xr:uid="{A7A2CA5B-FD9A-4331-936B-09C6D2DA6233}"/>
    <cellStyle name="Normal 8 5 31" xfId="2290" xr:uid="{08A13908-2D19-40A1-825F-E2A81E850ED9}"/>
    <cellStyle name="Normal 8 5 32" xfId="2291" xr:uid="{DD68847F-EB52-4A5A-B6DB-67B4DD290E10}"/>
    <cellStyle name="Normal 8 5 33" xfId="2292" xr:uid="{979C3A07-07DB-4F51-85D1-2798541801FE}"/>
    <cellStyle name="Normal 8 5 34" xfId="2293" xr:uid="{74B91470-48F3-4AA4-B023-FBCCC28E91E5}"/>
    <cellStyle name="Normal 8 5 35" xfId="2294" xr:uid="{B8E65FCD-6477-4AD5-8ED0-1FFBB4AEA000}"/>
    <cellStyle name="Normal 8 5 36" xfId="2295" xr:uid="{8FFD2113-E977-4A36-B515-6C681E9729EF}"/>
    <cellStyle name="Normal 8 5 37" xfId="2296" xr:uid="{5833FD58-3DD8-4FF9-B03B-ED2E768F330A}"/>
    <cellStyle name="Normal 8 5 38" xfId="2297" xr:uid="{8D090E24-9D2B-4553-9F13-A90FAFBD2AC5}"/>
    <cellStyle name="Normal 8 5 39" xfId="2298" xr:uid="{AE6632B3-57E5-4112-9EE1-4E54EB633083}"/>
    <cellStyle name="Normal 8 5 4" xfId="2299" xr:uid="{3145076C-9068-4F10-805B-3255B4ACD770}"/>
    <cellStyle name="Normal 8 5 40" xfId="2300" xr:uid="{C6DF0F19-5068-4F10-89C7-3B2A955C78C3}"/>
    <cellStyle name="Normal 8 5 41" xfId="2301" xr:uid="{02F88FC9-10FB-40E7-9229-0292BA7465F3}"/>
    <cellStyle name="Normal 8 5 42" xfId="2302" xr:uid="{C7599697-6C35-4F7D-BEDE-116E3694F77F}"/>
    <cellStyle name="Normal 8 5 43" xfId="2303" xr:uid="{0FB83B03-72BD-4055-8E3F-9EFAD7102A79}"/>
    <cellStyle name="Normal 8 5 44" xfId="2304" xr:uid="{2EF364D3-D479-4781-B7EA-ACF6C87B0222}"/>
    <cellStyle name="Normal 8 5 45" xfId="2305" xr:uid="{3300DDC9-F110-4B89-9D0C-D239DD1CCE32}"/>
    <cellStyle name="Normal 8 5 46" xfId="2306" xr:uid="{37C7EF2F-2D5F-4B0B-BD10-9F3092161AEA}"/>
    <cellStyle name="Normal 8 5 47" xfId="2307" xr:uid="{9B83EB63-D155-415C-BC12-958CDB1DE0AE}"/>
    <cellStyle name="Normal 8 5 48" xfId="2308" xr:uid="{AE7F9157-FCA7-4102-8FAF-4286B68B1518}"/>
    <cellStyle name="Normal 8 5 49" xfId="2309" xr:uid="{E56C9666-C47F-442F-99CE-B1F826F093CA}"/>
    <cellStyle name="Normal 8 5 5" xfId="2310" xr:uid="{CDB4334E-B8D3-43B5-ABF4-0E9E28D6400D}"/>
    <cellStyle name="Normal 8 5 50" xfId="2311" xr:uid="{06C36903-6C90-4120-BD6F-CF5B18AEEF41}"/>
    <cellStyle name="Normal 8 5 51" xfId="2312" xr:uid="{7292F657-7F6B-4EA4-8616-D5047630C8AE}"/>
    <cellStyle name="Normal 8 5 52" xfId="2313" xr:uid="{BDAF72A7-21CD-494B-BDEF-409FEE909760}"/>
    <cellStyle name="Normal 8 5 53" xfId="2314" xr:uid="{D3D57E3E-5EAF-4C7A-817F-AD075FC083DC}"/>
    <cellStyle name="Normal 8 5 54" xfId="2315" xr:uid="{35F37DF7-F5ED-45A8-9C28-05CB800DAC7C}"/>
    <cellStyle name="Normal 8 5 55" xfId="2316" xr:uid="{72C624BF-AD22-4C9F-A1E2-BC0E56977560}"/>
    <cellStyle name="Normal 8 5 56" xfId="2317" xr:uid="{363F4C76-DEDF-4FBD-A9DA-09B541E2A95A}"/>
    <cellStyle name="Normal 8 5 57" xfId="2318" xr:uid="{0263ED6B-D12C-4C47-A39B-E10F384A112B}"/>
    <cellStyle name="Normal 8 5 58" xfId="2319" xr:uid="{A0433C8C-A8B8-4913-B85C-72BBDED8202D}"/>
    <cellStyle name="Normal 8 5 59" xfId="2320" xr:uid="{55EF32E0-1007-4ADD-8C88-D0D70CC66E04}"/>
    <cellStyle name="Normal 8 5 6" xfId="2321" xr:uid="{FE08033A-8D6C-4B1F-9C87-0461C5481FCD}"/>
    <cellStyle name="Normal 8 5 60" xfId="2322" xr:uid="{F60F77B3-9918-4328-AD9F-F094EB62DBC0}"/>
    <cellStyle name="Normal 8 5 61" xfId="2323" xr:uid="{87266A09-B4F4-4BD8-A546-885BD5109FEB}"/>
    <cellStyle name="Normal 8 5 62" xfId="2324" xr:uid="{E4032C24-E21B-43AC-8F7C-0AB8631E450C}"/>
    <cellStyle name="Normal 8 5 63" xfId="2325" xr:uid="{C1588F93-A2AA-4411-8667-F1FD8D69FC99}"/>
    <cellStyle name="Normal 8 5 64" xfId="2326" xr:uid="{B05F21E4-6634-414D-AB3D-E4F35C6CDEDF}"/>
    <cellStyle name="Normal 8 5 65" xfId="2327" xr:uid="{6238AC39-C5F4-4C31-AC16-4EE7645AE349}"/>
    <cellStyle name="Normal 8 5 66" xfId="2328" xr:uid="{6C58990A-BD71-4B6C-ABE5-8CA9E0BD35F1}"/>
    <cellStyle name="Normal 8 5 67" xfId="2329" xr:uid="{A755D68A-BE74-4D5A-AED0-4DE46DFCDAED}"/>
    <cellStyle name="Normal 8 5 68" xfId="2330" xr:uid="{EBEA91A1-A0EF-4F70-B0D5-2388071AA6D7}"/>
    <cellStyle name="Normal 8 5 69" xfId="2331" xr:uid="{9F9BAEE5-6320-4535-8DBB-F6445D6FAA16}"/>
    <cellStyle name="Normal 8 5 7" xfId="2332" xr:uid="{7F0C6041-9A88-4245-9543-ED92260ACD97}"/>
    <cellStyle name="Normal 8 5 70" xfId="2333" xr:uid="{35D027FC-2FEF-4C02-A5D5-18EAD4252F65}"/>
    <cellStyle name="Normal 8 5 71" xfId="2334" xr:uid="{B78A8D39-824E-4676-B37A-F86E08B6ECD9}"/>
    <cellStyle name="Normal 8 5 8" xfId="2335" xr:uid="{5B9B4DDE-41C5-4E59-B8E1-3CF32C28F6FD}"/>
    <cellStyle name="Normal 8 5 9" xfId="2336" xr:uid="{C1607229-F20B-44CC-A7E6-86DC181C68B0}"/>
    <cellStyle name="Normal 8 50" xfId="2337" xr:uid="{5F35EB44-92A1-4893-A25B-9726905FEDA2}"/>
    <cellStyle name="Normal 8 51" xfId="2338" xr:uid="{7170287B-485A-49F8-8AA6-C4FE90F230A0}"/>
    <cellStyle name="Normal 8 52" xfId="2339" xr:uid="{D45EDBBA-8498-41CA-BC1E-173C92E8919A}"/>
    <cellStyle name="Normal 8 53" xfId="2340" xr:uid="{3AD824C8-3F54-49CB-955E-3ED41AFBA5D1}"/>
    <cellStyle name="Normal 8 54" xfId="2341" xr:uid="{753EF0B5-87CB-4BE0-93C2-AF4F28169DA9}"/>
    <cellStyle name="Normal 8 55" xfId="2342" xr:uid="{0AF2C860-E0D8-4A56-B54B-48A955541500}"/>
    <cellStyle name="Normal 8 56" xfId="2343" xr:uid="{256A4E99-7688-4E7B-81CB-B680DB18D8A4}"/>
    <cellStyle name="Normal 8 57" xfId="2344" xr:uid="{B71E159C-65EF-486A-8CF0-290618E09DAD}"/>
    <cellStyle name="Normal 8 58" xfId="2345" xr:uid="{8B013437-5970-48E1-90F2-4160BEC5DA1C}"/>
    <cellStyle name="Normal 8 59" xfId="2346" xr:uid="{92A69FF3-5726-4E9F-9182-C61054AB3D97}"/>
    <cellStyle name="Normal 8 6" xfId="2347" xr:uid="{DB861BF9-7B0E-4506-A4BA-7C674B2F4B36}"/>
    <cellStyle name="Normal 8 60" xfId="2348" xr:uid="{42590B38-AFB6-4D55-ADDB-4E4148090591}"/>
    <cellStyle name="Normal 8 60 2" xfId="2349" xr:uid="{542865F6-880C-4383-ACC2-CB15B508D54A}"/>
    <cellStyle name="Normal 8 60 3" xfId="2350" xr:uid="{D83EFF95-2265-4F96-ACCB-EEB365C38A50}"/>
    <cellStyle name="Normal 8 60 3 2" xfId="2351" xr:uid="{78056C29-FA07-4E01-B3B1-C86547DF7218}"/>
    <cellStyle name="Normal 8 61" xfId="2352" xr:uid="{58E11D82-9C73-44DE-996E-CD4B98AD46EF}"/>
    <cellStyle name="Normal 8 62" xfId="2353" xr:uid="{A8725887-D2D9-4D6A-A7D4-A1B60088DFE8}"/>
    <cellStyle name="Normal 8 63" xfId="2354" xr:uid="{AD39DD88-9DC6-4E1B-9B7A-28A0E6DB1D24}"/>
    <cellStyle name="Normal 8 64" xfId="2355" xr:uid="{534F20DB-7725-47E4-8327-4FAC77E89522}"/>
    <cellStyle name="Normal 8 65" xfId="2356" xr:uid="{C4350723-0A43-4575-A955-AF8323C4286F}"/>
    <cellStyle name="Normal 8 66" xfId="2357" xr:uid="{7BFBE6EE-228C-4F8F-9E0C-0FB0C162ED7A}"/>
    <cellStyle name="Normal 8 67" xfId="2358" xr:uid="{A1C992AD-63D6-4875-96BE-080EA8F2C159}"/>
    <cellStyle name="Normal 8 68" xfId="2359" xr:uid="{3D1B5934-50AE-40A0-8B24-CCA535BFFFF1}"/>
    <cellStyle name="Normal 8 69" xfId="2360" xr:uid="{28D49412-D5FE-42E7-8138-17A63F1E2890}"/>
    <cellStyle name="Normal 8 7" xfId="2361" xr:uid="{915F5FE9-E68B-4797-9FFD-A3B7608E8A9B}"/>
    <cellStyle name="Normal 8 70" xfId="2362" xr:uid="{0BCB3FCF-E89A-44A8-BFAB-960214A070D2}"/>
    <cellStyle name="Normal 8 71" xfId="2363" xr:uid="{9099EF45-9F3F-44A3-BF83-CA9F895EA759}"/>
    <cellStyle name="Normal 8 72" xfId="2364" xr:uid="{30D1FCBC-3276-4AC6-B71C-6FAA673A4631}"/>
    <cellStyle name="Normal 8 73" xfId="2365" xr:uid="{03C53AAB-AFF2-4EDF-ACF7-4CEACFEAFFD7}"/>
    <cellStyle name="Normal 8 74" xfId="2366" xr:uid="{64585569-31BE-4732-8F84-42972A39B97D}"/>
    <cellStyle name="Normal 8 8" xfId="2367" xr:uid="{72AE3F6A-7956-46C8-BE7E-98C3118CDC30}"/>
    <cellStyle name="Normal 8 9" xfId="2368" xr:uid="{66C35684-A299-40E0-B09E-8149DE405227}"/>
    <cellStyle name="Normal 9" xfId="2369" xr:uid="{44E2D49C-66FA-41FA-B0A2-B61923E1CC59}"/>
    <cellStyle name="Normal_Analyses" xfId="14" xr:uid="{00000000-0005-0000-0000-000017000000}"/>
    <cellStyle name="Normal_Groups" xfId="10" xr:uid="{00000000-0005-0000-0000-000019000000}"/>
    <cellStyle name="Normal_Groups_FPL Analyses" xfId="11" xr:uid="{00000000-0005-0000-0000-00001A000000}"/>
    <cellStyle name="Normal_Risk Premium" xfId="12" xr:uid="{00000000-0005-0000-0000-00001C000000}"/>
    <cellStyle name="Normal_S&amp;P List" xfId="6" xr:uid="{00000000-0005-0000-0000-00001D000000}"/>
    <cellStyle name="Normal_Schedule WEA-1" xfId="2823" xr:uid="{E7B4A5C4-26CB-4C31-9049-923A5A2BB888}"/>
    <cellStyle name="Normal_Screener (4)" xfId="20" xr:uid="{00000000-0005-0000-0000-00001F000000}"/>
    <cellStyle name="Normal_Screener-4 2" xfId="21" xr:uid="{00000000-0005-0000-0000-000020000000}"/>
    <cellStyle name="Normal_Screener-5" xfId="19" xr:uid="{00000000-0005-0000-0000-000021000000}"/>
    <cellStyle name="Normal_Screener-8" xfId="22" xr:uid="{00000000-0005-0000-0000-000022000000}"/>
    <cellStyle name="Normal_Value Line Group" xfId="5" xr:uid="{00000000-0005-0000-0000-000023000000}"/>
    <cellStyle name="Normal_West Group" xfId="2" xr:uid="{00000000-0005-0000-0000-000024000000}"/>
    <cellStyle name="Percent" xfId="1" builtinId="5"/>
    <cellStyle name="Percent 10" xfId="3" xr:uid="{00000000-0005-0000-0000-000026000000}"/>
    <cellStyle name="Percent 10 2" xfId="2808" xr:uid="{16C37FFE-3D1F-49C5-B70E-FE069A7E8028}"/>
    <cellStyle name="Percent 12 2" xfId="37" xr:uid="{00000000-0005-0000-0000-000027000000}"/>
    <cellStyle name="Percent 13" xfId="38" xr:uid="{00000000-0005-0000-0000-000028000000}"/>
    <cellStyle name="Percent 13 2" xfId="74" xr:uid="{5353A543-EE56-408C-BD83-9ED9E4F95299}"/>
    <cellStyle name="Percent 2" xfId="24" xr:uid="{00000000-0005-0000-0000-000029000000}"/>
    <cellStyle name="Percent 2 2" xfId="16" xr:uid="{00000000-0005-0000-0000-00002A000000}"/>
    <cellStyle name="Percent 2 2 10" xfId="55" xr:uid="{6C58D44D-1C12-44D5-B9DE-879694DD5376}"/>
    <cellStyle name="Percent 2 2 2" xfId="67" xr:uid="{CC9FBB66-FE7A-4893-BAA5-ACE4E4255FA2}"/>
    <cellStyle name="Percent 2 3" xfId="2370" xr:uid="{24FEE527-9ACA-4740-BD5D-E8D47625BE8B}"/>
    <cellStyle name="Percent 2 4" xfId="2371" xr:uid="{4FE8CDFD-BA15-42B2-A4FB-737F494837C2}"/>
    <cellStyle name="Percent 2 7" xfId="56" xr:uid="{A8EBEE9D-E8C0-462F-96F8-AC77A989D12B}"/>
    <cellStyle name="Percent 3" xfId="39" xr:uid="{00000000-0005-0000-0000-00002B000000}"/>
    <cellStyle name="Percent 3 10" xfId="2372" xr:uid="{1FA3F464-D4D0-4996-A6F4-688824F9EB8B}"/>
    <cellStyle name="Percent 3 11" xfId="2373" xr:uid="{490A234F-56AC-4484-99FC-B9653B756D82}"/>
    <cellStyle name="Percent 3 12" xfId="2374" xr:uid="{A10E9D7A-CC2B-40FE-9145-80E9AA1903F9}"/>
    <cellStyle name="Percent 3 13" xfId="2375" xr:uid="{C12E7750-F82A-4FAC-9417-AD4970F1CFD9}"/>
    <cellStyle name="Percent 3 14" xfId="2376" xr:uid="{FE32F190-3D5D-450B-8CD9-E46AFA0739F4}"/>
    <cellStyle name="Percent 3 15" xfId="2377" xr:uid="{2E11135E-8D53-42B6-B669-59F96179F1F2}"/>
    <cellStyle name="Percent 3 16" xfId="2378" xr:uid="{08EBE77B-55AB-4EF6-8A10-B90E7DACB0FD}"/>
    <cellStyle name="Percent 3 17" xfId="2379" xr:uid="{57E77C66-FE32-4783-9386-BADE7F775D48}"/>
    <cellStyle name="Percent 3 18" xfId="2380" xr:uid="{0BC11093-F27C-4C28-9EBE-F6D25099F8FC}"/>
    <cellStyle name="Percent 3 19" xfId="2381" xr:uid="{E925B6B4-3067-423F-9C30-EFA4930AB65A}"/>
    <cellStyle name="Percent 3 2" xfId="62" xr:uid="{1AE0EE24-4BE3-4221-9033-40C43875FEAD}"/>
    <cellStyle name="Percent 3 2 2" xfId="2382" xr:uid="{943E7171-1CC2-4104-97F9-DA8A82B238A4}"/>
    <cellStyle name="Percent 3 20" xfId="2383" xr:uid="{723861E2-3610-4744-A326-C0D002F43482}"/>
    <cellStyle name="Percent 3 21" xfId="2384" xr:uid="{3EBCE595-69D3-4453-9E0C-DFA0E34964EC}"/>
    <cellStyle name="Percent 3 22" xfId="2385" xr:uid="{05C26298-A6FB-4807-87FE-7C954370C372}"/>
    <cellStyle name="Percent 3 23" xfId="2386" xr:uid="{55B82CE3-C10D-4D92-82BA-21DBAC83F7E3}"/>
    <cellStyle name="Percent 3 24" xfId="2387" xr:uid="{DF4B923E-20EE-4FDC-B283-67A3344C4011}"/>
    <cellStyle name="Percent 3 25" xfId="2388" xr:uid="{55F9462F-D4D2-460D-8AAC-CB275D5FC727}"/>
    <cellStyle name="Percent 3 26" xfId="2389" xr:uid="{0A24536A-B255-46BE-8EA8-BDDFDA3C4570}"/>
    <cellStyle name="Percent 3 27" xfId="2390" xr:uid="{97FFCDB3-125C-41B4-9ABD-A1E395265BBA}"/>
    <cellStyle name="Percent 3 28" xfId="2391" xr:uid="{446DD136-44A3-47CF-BD8D-BF90A85B94EC}"/>
    <cellStyle name="Percent 3 29" xfId="2392" xr:uid="{301EB20B-E084-4E2F-A11F-FDC3112664ED}"/>
    <cellStyle name="Percent 3 3" xfId="2393" xr:uid="{9BCF333E-FBDA-47E5-93EC-97B94F3FC06C}"/>
    <cellStyle name="Percent 3 30" xfId="2394" xr:uid="{2B2B779E-E5F4-4AD2-A46B-0462F146EEB6}"/>
    <cellStyle name="Percent 3 31" xfId="2395" xr:uid="{99428D0F-04A5-4783-9AA3-C92A1A29CEBF}"/>
    <cellStyle name="Percent 3 32" xfId="2396" xr:uid="{C60D7501-2102-46B4-ABB8-B3D609EA3692}"/>
    <cellStyle name="Percent 3 33" xfId="2397" xr:uid="{6CA319AB-421A-47D6-8CC9-C2276D86117E}"/>
    <cellStyle name="Percent 3 34" xfId="2398" xr:uid="{5EC95F2A-5667-4398-9DB9-F07B81F41C41}"/>
    <cellStyle name="Percent 3 35" xfId="2399" xr:uid="{4958B768-C6AB-4253-8C42-32DEAF66F16C}"/>
    <cellStyle name="Percent 3 36" xfId="2400" xr:uid="{32F17E6A-39E8-4847-A902-4F536C455BE8}"/>
    <cellStyle name="Percent 3 37" xfId="2401" xr:uid="{4886FC5F-D317-4F44-A6CD-A98BF19E1A09}"/>
    <cellStyle name="Percent 3 38" xfId="2402" xr:uid="{D16D9B32-97FE-4CEA-8979-64FA89DF2310}"/>
    <cellStyle name="Percent 3 39" xfId="2403" xr:uid="{591DE988-017B-4385-8AC8-A3A72E96F785}"/>
    <cellStyle name="Percent 3 4" xfId="2404" xr:uid="{ACBB4CE4-31F8-4C8C-A548-44F15FE7819E}"/>
    <cellStyle name="Percent 3 40" xfId="2405" xr:uid="{DDA87662-E193-441D-B357-062A5E0D4917}"/>
    <cellStyle name="Percent 3 41" xfId="2406" xr:uid="{5FAC38F4-4AC2-4F72-952B-98587539EED5}"/>
    <cellStyle name="Percent 3 42" xfId="2407" xr:uid="{6966D9E0-A5D1-44C2-921E-7BFFCD0EB026}"/>
    <cellStyle name="Percent 3 43" xfId="2408" xr:uid="{75E7183D-DA97-442B-A4CD-4579D117645E}"/>
    <cellStyle name="Percent 3 44" xfId="2409" xr:uid="{05C54489-7942-4DBC-A286-8960DC4F1DAA}"/>
    <cellStyle name="Percent 3 45" xfId="2410" xr:uid="{E62F548C-A03A-4431-B6A5-28F177B316CB}"/>
    <cellStyle name="Percent 3 46" xfId="2411" xr:uid="{58F927B1-266A-49A1-9C93-D08117995A77}"/>
    <cellStyle name="Percent 3 47" xfId="2412" xr:uid="{B3D03466-E11F-4BBA-ACA8-77C9EB828540}"/>
    <cellStyle name="Percent 3 48" xfId="2413" xr:uid="{2AA93EAD-C1DC-472B-AF45-C899F177187D}"/>
    <cellStyle name="Percent 3 49" xfId="2414" xr:uid="{8605E955-AD23-40B7-8A70-A3A3C511A5A6}"/>
    <cellStyle name="Percent 3 5" xfId="2415" xr:uid="{3CE7179A-F162-4523-BB4F-B8FC1F3840D1}"/>
    <cellStyle name="Percent 3 50" xfId="2416" xr:uid="{D3F27AD9-1F6B-47A6-BED9-4F271FE78AF9}"/>
    <cellStyle name="Percent 3 51" xfId="2417" xr:uid="{13FBE057-88EB-4045-BE56-D6D7C2542B60}"/>
    <cellStyle name="Percent 3 52" xfId="2418" xr:uid="{EC2D3BF7-13C4-42F2-A811-9075DE992365}"/>
    <cellStyle name="Percent 3 53" xfId="2419" xr:uid="{F0105FE9-8BA7-4CBA-B1F5-E2EF8FEFDDA4}"/>
    <cellStyle name="Percent 3 54" xfId="2420" xr:uid="{83092ADD-A262-45D9-926E-8F49CCC17D65}"/>
    <cellStyle name="Percent 3 55" xfId="2421" xr:uid="{0EBF011B-C635-401E-ACBA-3D4127221DAF}"/>
    <cellStyle name="Percent 3 56" xfId="2422" xr:uid="{8420C1AF-1EEF-4207-BB83-27F22FAB1636}"/>
    <cellStyle name="Percent 3 57" xfId="2423" xr:uid="{CBFC23EF-A649-4D42-841D-D6812ACB31FD}"/>
    <cellStyle name="Percent 3 58" xfId="2424" xr:uid="{DEC71E84-34A9-4DB2-9744-0228E2C9EDCC}"/>
    <cellStyle name="Percent 3 59" xfId="2425" xr:uid="{15A60B77-841C-4CE6-968E-1D526D55C458}"/>
    <cellStyle name="Percent 3 6" xfId="2426" xr:uid="{F0BEBE96-5562-4B69-8F99-E831A65FDB5D}"/>
    <cellStyle name="Percent 3 60" xfId="2427" xr:uid="{77140B67-2E39-48E8-A62D-410A1C7EBEC8}"/>
    <cellStyle name="Percent 3 61" xfId="2428" xr:uid="{9E0D537F-2B0C-4F41-9900-DD17600C00E8}"/>
    <cellStyle name="Percent 3 62" xfId="2429" xr:uid="{F2DEE83E-696F-4BC8-B8E3-65960DDBA27E}"/>
    <cellStyle name="Percent 3 63" xfId="2430" xr:uid="{51DBD09D-F315-403A-8F01-196F7057E039}"/>
    <cellStyle name="Percent 3 7" xfId="2431" xr:uid="{D0E5EAF5-F017-4C45-AC49-4A3A26D71BDC}"/>
    <cellStyle name="Percent 3 8" xfId="2432" xr:uid="{E415C154-964D-4786-87A9-9CB55B70192D}"/>
    <cellStyle name="Percent 3 9" xfId="2433" xr:uid="{D6C75B01-644D-464F-9CFE-54387B835E1E}"/>
    <cellStyle name="Percent 4" xfId="40" xr:uid="{00000000-0005-0000-0000-00002C000000}"/>
    <cellStyle name="Percent 4 10" xfId="2435" xr:uid="{CA4A1327-E08B-459C-95BE-B919EDA955EB}"/>
    <cellStyle name="Percent 4 11" xfId="2436" xr:uid="{C802C24B-3600-4B43-A383-91196A19CE38}"/>
    <cellStyle name="Percent 4 12" xfId="2437" xr:uid="{05F96283-D51F-4334-8121-92A11C91E767}"/>
    <cellStyle name="Percent 4 13" xfId="2438" xr:uid="{FFA3D8C8-4EF8-4C4A-B03E-1CD8EE15D0F8}"/>
    <cellStyle name="Percent 4 14" xfId="2439" xr:uid="{4EADBD07-657D-4E70-AA04-B89D6207BA7A}"/>
    <cellStyle name="Percent 4 15" xfId="2440" xr:uid="{C5B896B2-1198-4482-A4E3-B4E76EB76C1D}"/>
    <cellStyle name="Percent 4 16" xfId="2441" xr:uid="{D9D54A6F-A18D-4982-84FB-E599312C63E7}"/>
    <cellStyle name="Percent 4 17" xfId="2442" xr:uid="{3F9E84D5-39BE-4671-AA54-29A9E6BD88E0}"/>
    <cellStyle name="Percent 4 18" xfId="2443" xr:uid="{6A6340B6-024C-439C-8073-52696AC8EDB2}"/>
    <cellStyle name="Percent 4 19" xfId="2444" xr:uid="{9280F863-BC4F-403E-98A8-18D5576D3F57}"/>
    <cellStyle name="Percent 4 2" xfId="2445" xr:uid="{E8CF3924-8C7B-4A6A-B9FA-E709997B51DC}"/>
    <cellStyle name="Percent 4 20" xfId="2446" xr:uid="{C58C4643-375F-47EB-B98B-BC07437D4E4B}"/>
    <cellStyle name="Percent 4 21" xfId="2447" xr:uid="{C45FAE26-ACB0-4DA1-B461-3548479BEF02}"/>
    <cellStyle name="Percent 4 22" xfId="2448" xr:uid="{6A8B1695-9D83-42F3-B9A8-1D50656E949B}"/>
    <cellStyle name="Percent 4 23" xfId="2449" xr:uid="{AF4310FA-1847-4A37-86AB-E07894C23595}"/>
    <cellStyle name="Percent 4 24" xfId="2450" xr:uid="{A6B92CE4-4511-4CC6-A306-5302414CF28D}"/>
    <cellStyle name="Percent 4 25" xfId="2451" xr:uid="{66445B3A-FA0D-483B-AFC3-805A68846FAA}"/>
    <cellStyle name="Percent 4 26" xfId="2452" xr:uid="{8DBB3D3A-BDA1-41BE-B979-5F61B079B3E4}"/>
    <cellStyle name="Percent 4 27" xfId="2453" xr:uid="{1051626E-F461-404E-B790-599E7402AC3C}"/>
    <cellStyle name="Percent 4 28" xfId="2454" xr:uid="{587CCF94-A430-4691-88D6-1DF504F92F4A}"/>
    <cellStyle name="Percent 4 29" xfId="2455" xr:uid="{E99CBE9E-3474-465F-AE7C-F283C18B9DC4}"/>
    <cellStyle name="Percent 4 3" xfId="2456" xr:uid="{3A74F3CA-E6E2-4D18-9219-C73FDC696BB4}"/>
    <cellStyle name="Percent 4 30" xfId="2457" xr:uid="{552342F6-CE97-4E13-A2FC-21D51CFCBAD8}"/>
    <cellStyle name="Percent 4 31" xfId="2458" xr:uid="{9B596B93-B162-4C44-8172-7FBC2A393FA4}"/>
    <cellStyle name="Percent 4 32" xfId="2459" xr:uid="{8B5AA30F-E815-4C3D-B548-50F162F28BA4}"/>
    <cellStyle name="Percent 4 33" xfId="2460" xr:uid="{B77840E3-6506-4BC7-8728-4B37885F389B}"/>
    <cellStyle name="Percent 4 34" xfId="2461" xr:uid="{989EA4D4-7D72-43E1-9134-F92EDEF6F67E}"/>
    <cellStyle name="Percent 4 35" xfId="2462" xr:uid="{CFB0B43F-87B8-4E8E-831F-5DE124EB69C1}"/>
    <cellStyle name="Percent 4 36" xfId="2463" xr:uid="{3177419E-5FFF-401E-83D4-A5EB59830023}"/>
    <cellStyle name="Percent 4 37" xfId="2464" xr:uid="{BBBCE04A-7C4C-462D-9BE5-FD0815FE5053}"/>
    <cellStyle name="Percent 4 38" xfId="2465" xr:uid="{D1A1C234-68A1-49D1-BE66-59F194B88C97}"/>
    <cellStyle name="Percent 4 39" xfId="2466" xr:uid="{E0C40A29-29DB-4CDD-92EC-15902451F6D1}"/>
    <cellStyle name="Percent 4 4" xfId="2467" xr:uid="{FBA11C53-F76D-49DB-B1F2-335F6683B928}"/>
    <cellStyle name="Percent 4 40" xfId="2468" xr:uid="{370414F7-E349-40EC-BFBA-FFB853A28DA2}"/>
    <cellStyle name="Percent 4 41" xfId="2469" xr:uid="{57E93E30-16C6-4173-B65E-B41F1F558592}"/>
    <cellStyle name="Percent 4 42" xfId="2470" xr:uid="{81B401B0-B04F-49DA-A49E-ED519B6C7A9C}"/>
    <cellStyle name="Percent 4 43" xfId="2471" xr:uid="{95437144-0D61-4B63-9529-224C8280B467}"/>
    <cellStyle name="Percent 4 44" xfId="2472" xr:uid="{ACD44265-42F7-4334-9E26-C0B41468D83F}"/>
    <cellStyle name="Percent 4 45" xfId="2473" xr:uid="{4AEFD0C5-6476-4F8E-BE76-86FC2556B7AB}"/>
    <cellStyle name="Percent 4 46" xfId="2474" xr:uid="{C53B5D39-F1C3-4749-98C3-73B54FD4938F}"/>
    <cellStyle name="Percent 4 47" xfId="2475" xr:uid="{2016A65F-3E42-499C-B41A-EF87E2B99EF2}"/>
    <cellStyle name="Percent 4 48" xfId="2476" xr:uid="{C1B487D0-60C8-43BC-8EC7-FC57221D97B7}"/>
    <cellStyle name="Percent 4 49" xfId="2477" xr:uid="{0C763569-69D1-4BD8-AB57-DDBF54D6202F}"/>
    <cellStyle name="Percent 4 5" xfId="2478" xr:uid="{CB01890C-E372-4B58-9EE0-95D8600647B6}"/>
    <cellStyle name="Percent 4 50" xfId="2479" xr:uid="{3A108109-4742-4C4D-8BB8-E2C48AB5AC58}"/>
    <cellStyle name="Percent 4 51" xfId="2480" xr:uid="{085435F6-D037-4672-A815-4D2E1F1C3364}"/>
    <cellStyle name="Percent 4 52" xfId="2481" xr:uid="{7DE3ACBC-A452-4211-B04F-F9293C647A99}"/>
    <cellStyle name="Percent 4 53" xfId="2482" xr:uid="{2184392B-9D8D-4DE4-88BE-98B9F86EEAB3}"/>
    <cellStyle name="Percent 4 54" xfId="2483" xr:uid="{CC30BA7A-6EB0-444E-BB31-AD44B10D5264}"/>
    <cellStyle name="Percent 4 55" xfId="2484" xr:uid="{2572553B-0D47-45BE-B42B-BEE09030FD24}"/>
    <cellStyle name="Percent 4 56" xfId="2485" xr:uid="{1A8E94C0-D6B9-4D5F-949F-EAD488699A13}"/>
    <cellStyle name="Percent 4 57" xfId="2486" xr:uid="{E8168D3E-65EC-41A2-AF24-E31D8E9DE0A5}"/>
    <cellStyle name="Percent 4 58" xfId="2487" xr:uid="{CA8C4A37-7237-4A5F-816D-598D036301C9}"/>
    <cellStyle name="Percent 4 59" xfId="2488" xr:uid="{75A149C1-2A28-430C-8CA7-8666345E08DA}"/>
    <cellStyle name="Percent 4 6" xfId="2489" xr:uid="{B7180290-99D0-4F8A-91A1-7C20242F019A}"/>
    <cellStyle name="Percent 4 60" xfId="2490" xr:uid="{841EC172-D14B-4106-991B-5E241161B197}"/>
    <cellStyle name="Percent 4 61" xfId="2491" xr:uid="{4DB71832-56D5-48F2-9617-D013E3B10B3B}"/>
    <cellStyle name="Percent 4 62" xfId="2492" xr:uid="{7518AE03-9482-4560-8D12-0797E6D433E1}"/>
    <cellStyle name="Percent 4 63" xfId="2493" xr:uid="{71F66F8A-89B2-4B6B-A50F-EFB53886DA3F}"/>
    <cellStyle name="Percent 4 64" xfId="2434" xr:uid="{8651C363-B8B2-497D-89E1-45B49F26A540}"/>
    <cellStyle name="Percent 4 7" xfId="2494" xr:uid="{777DB582-0D0F-43A9-838D-E7AB4636D704}"/>
    <cellStyle name="Percent 4 8" xfId="2495" xr:uid="{0D790628-CA76-4C46-996A-7FFEEB7712D9}"/>
    <cellStyle name="Percent 4 9" xfId="2496" xr:uid="{07C5CE9C-6DF6-4000-9382-FB3ACC4B6106}"/>
    <cellStyle name="Percent 5" xfId="2497" xr:uid="{5082C762-0219-4BDF-8C41-BC08107035E0}"/>
    <cellStyle name="Percent 5 10" xfId="2498" xr:uid="{48057B47-D991-4B34-BBF2-D81452345E9F}"/>
    <cellStyle name="Percent 5 11" xfId="2499" xr:uid="{DE32DD72-8043-4EE6-98D0-F03779DA1423}"/>
    <cellStyle name="Percent 5 12" xfId="2500" xr:uid="{FBEDBE39-ED36-4666-88C8-B8AC2833C346}"/>
    <cellStyle name="Percent 5 13" xfId="2501" xr:uid="{6A138F15-E70F-4AFE-B846-AE88DC60FED2}"/>
    <cellStyle name="Percent 5 14" xfId="2502" xr:uid="{FFED5681-8DBE-4C58-B254-AA4329BD8AF9}"/>
    <cellStyle name="Percent 5 15" xfId="2503" xr:uid="{50AC8F91-7C1B-48AB-81A3-4D32A691014A}"/>
    <cellStyle name="Percent 5 16" xfId="2504" xr:uid="{B747E0C8-B1ED-400B-B805-A75F7C50AF72}"/>
    <cellStyle name="Percent 5 17" xfId="2505" xr:uid="{9906A5DF-B317-4DBB-8983-8E0057FB7F11}"/>
    <cellStyle name="Percent 5 18" xfId="2506" xr:uid="{CD3A063A-62E5-40E3-B995-8B99DDE154D2}"/>
    <cellStyle name="Percent 5 19" xfId="2507" xr:uid="{910C6782-8226-4461-B8AC-08BB2D7424A6}"/>
    <cellStyle name="Percent 5 2" xfId="2508" xr:uid="{F857AAF7-652C-4CB2-8A5E-F40A27239D34}"/>
    <cellStyle name="Percent 5 20" xfId="2509" xr:uid="{A51924A8-B253-49FD-B8C1-52A310EC01FC}"/>
    <cellStyle name="Percent 5 21" xfId="2510" xr:uid="{B9CAF20B-85D3-4CB7-A419-F211D026A2DA}"/>
    <cellStyle name="Percent 5 22" xfId="2511" xr:uid="{1079038B-09EC-4D2D-9D7D-1C49B8C0D8D3}"/>
    <cellStyle name="Percent 5 23" xfId="2512" xr:uid="{EE9039BA-48BF-4C01-9A3B-7A54B3050EDE}"/>
    <cellStyle name="Percent 5 24" xfId="2513" xr:uid="{B56CBBDC-A2A6-41C6-8402-4F0A3FEF3AC9}"/>
    <cellStyle name="Percent 5 25" xfId="2514" xr:uid="{8D810372-1C62-4768-A0FF-53A0E8303ADE}"/>
    <cellStyle name="Percent 5 26" xfId="2515" xr:uid="{13F1C4B2-BBA2-4529-81B9-2C726C473C28}"/>
    <cellStyle name="Percent 5 27" xfId="2516" xr:uid="{5E83223A-FF45-430C-9DAA-CC895E59A9D4}"/>
    <cellStyle name="Percent 5 28" xfId="2517" xr:uid="{46B90203-4053-4E68-A02A-50F7518F037D}"/>
    <cellStyle name="Percent 5 29" xfId="2518" xr:uid="{CCF33B40-46E7-4CF2-A1CD-22005E4B63B1}"/>
    <cellStyle name="Percent 5 3" xfId="2519" xr:uid="{BB56A61D-C8E3-47F2-8A27-1DEDAF120D74}"/>
    <cellStyle name="Percent 5 30" xfId="2520" xr:uid="{7E388862-3126-402A-99B9-460D058B6967}"/>
    <cellStyle name="Percent 5 31" xfId="2521" xr:uid="{DBFAD6DB-AAF7-47B5-ADF3-21BCDE2B923F}"/>
    <cellStyle name="Percent 5 32" xfId="2522" xr:uid="{53CFB714-428F-4422-B12D-10BD74AF7DCE}"/>
    <cellStyle name="Percent 5 33" xfId="2523" xr:uid="{F770AE8C-43C9-4B16-80F8-E5820004A9BF}"/>
    <cellStyle name="Percent 5 34" xfId="2524" xr:uid="{0738FE9E-2F97-4A55-9177-8CBC1CDF5E80}"/>
    <cellStyle name="Percent 5 35" xfId="2525" xr:uid="{5672B527-84A9-4570-BC37-FE1CDC747279}"/>
    <cellStyle name="Percent 5 36" xfId="2526" xr:uid="{BF6C853E-7613-49B9-8B9D-092BEEF4FD6B}"/>
    <cellStyle name="Percent 5 37" xfId="2527" xr:uid="{074FA9EB-83CA-4120-B100-577CE9740DC1}"/>
    <cellStyle name="Percent 5 38" xfId="2528" xr:uid="{F70DA235-C278-4B67-8652-FD93BD5571FC}"/>
    <cellStyle name="Percent 5 39" xfId="2529" xr:uid="{8BD19327-93A9-4BC4-937C-A5015401085D}"/>
    <cellStyle name="Percent 5 4" xfId="2530" xr:uid="{25BBEAA5-2678-4A7B-A98C-15A32DBD023B}"/>
    <cellStyle name="Percent 5 40" xfId="2531" xr:uid="{43D97ED7-4245-48F1-8881-32D39893ECEB}"/>
    <cellStyle name="Percent 5 41" xfId="2532" xr:uid="{9274261E-EBB3-43B6-8DE5-B4B914E4AD0B}"/>
    <cellStyle name="Percent 5 42" xfId="2533" xr:uid="{8E902835-B94C-4CD1-87E0-06E407ED282D}"/>
    <cellStyle name="Percent 5 43" xfId="2534" xr:uid="{D76EADD3-5586-4FC3-9C1F-53EF8B8CB27D}"/>
    <cellStyle name="Percent 5 44" xfId="2535" xr:uid="{297B42EA-AD5D-4D0E-B224-105FA9694D67}"/>
    <cellStyle name="Percent 5 45" xfId="2536" xr:uid="{996B33F1-D07F-40CA-BBDC-A09DA1C31292}"/>
    <cellStyle name="Percent 5 46" xfId="2537" xr:uid="{815AB4DA-8B0B-4818-92E4-EC7FE5414FFF}"/>
    <cellStyle name="Percent 5 47" xfId="2538" xr:uid="{A8BD1172-9350-4250-942D-9592D3BE4D18}"/>
    <cellStyle name="Percent 5 48" xfId="2539" xr:uid="{8AD83505-680A-43F8-9145-56448641680E}"/>
    <cellStyle name="Percent 5 49" xfId="2540" xr:uid="{CEB0DF0D-26A1-4A5D-B579-A9EB7DC5EF7A}"/>
    <cellStyle name="Percent 5 5" xfId="2541" xr:uid="{F1998F63-4B3B-468F-9FAC-8748B9426876}"/>
    <cellStyle name="Percent 5 50" xfId="2542" xr:uid="{4A4D2393-E466-455A-A3AD-DBE06D871219}"/>
    <cellStyle name="Percent 5 51" xfId="2543" xr:uid="{553018DB-04C4-4689-B788-77D842C41EE2}"/>
    <cellStyle name="Percent 5 52" xfId="2544" xr:uid="{E26CA147-0E13-4BF3-8A34-317939ABDFC1}"/>
    <cellStyle name="Percent 5 53" xfId="2545" xr:uid="{B3A38BB7-A9AF-42CE-A484-62D7B3C4CAD7}"/>
    <cellStyle name="Percent 5 54" xfId="2546" xr:uid="{96A19668-852F-435D-8C93-257B1D725B89}"/>
    <cellStyle name="Percent 5 55" xfId="2547" xr:uid="{B6D328A9-3DC9-44D1-BF9E-27992F6D735C}"/>
    <cellStyle name="Percent 5 56" xfId="2548" xr:uid="{A43A066F-0D56-47B0-B76C-009AEF81D2FE}"/>
    <cellStyle name="Percent 5 57" xfId="2549" xr:uid="{5CF149C4-22A5-46F3-998E-AFC04DA64141}"/>
    <cellStyle name="Percent 5 58" xfId="2550" xr:uid="{FF98CF68-BD54-4B04-8930-AA321E6B7484}"/>
    <cellStyle name="Percent 5 59" xfId="2551" xr:uid="{6F433954-F3EF-4CA8-B9CE-116A1F6F0A26}"/>
    <cellStyle name="Percent 5 6" xfId="2552" xr:uid="{D98A1935-337D-48BA-B49B-DAF0674FB878}"/>
    <cellStyle name="Percent 5 60" xfId="2553" xr:uid="{101C106F-6A57-42EF-A5E4-8AD78D07D18C}"/>
    <cellStyle name="Percent 5 61" xfId="2554" xr:uid="{90E7C845-AC9A-407A-ADDE-9A0492F18B1D}"/>
    <cellStyle name="Percent 5 62" xfId="2555" xr:uid="{A5C5B5FC-5E3A-4557-A965-14BA2FC2B259}"/>
    <cellStyle name="Percent 5 63" xfId="2556" xr:uid="{F94AB705-8DC8-4E6A-A442-F5572BBF033D}"/>
    <cellStyle name="Percent 5 64" xfId="2557" xr:uid="{EE2AA3B9-E853-4284-AD26-C8343C742AF3}"/>
    <cellStyle name="Percent 5 65" xfId="2558" xr:uid="{FEBEB154-1702-46E3-B0A1-B095B0AD9CAD}"/>
    <cellStyle name="Percent 5 7" xfId="2559" xr:uid="{D6B0E9FA-8D96-4F1A-97E9-95AECA5E0682}"/>
    <cellStyle name="Percent 5 8" xfId="2560" xr:uid="{6FA676B3-3436-48C9-A7C2-70E9D0957CA8}"/>
    <cellStyle name="Percent 5 9" xfId="2561" xr:uid="{78B0F198-EF68-4B24-8B1A-7F4F59B9BEDA}"/>
    <cellStyle name="Percent 6" xfId="2562" xr:uid="{AE8640D9-47B0-415D-818B-21388D5A6D78}"/>
    <cellStyle name="Percent 6 10" xfId="2563" xr:uid="{B9B56F6D-12D8-4884-85B7-7E545C2E4EAD}"/>
    <cellStyle name="Percent 6 11" xfId="2564" xr:uid="{6ECFAF55-3962-4CEF-BB48-9071E85A932C}"/>
    <cellStyle name="Percent 6 12" xfId="2565" xr:uid="{C21AAE39-0726-42BD-B4E0-E348D51177AB}"/>
    <cellStyle name="Percent 6 13" xfId="2566" xr:uid="{E6460CD0-B04A-4843-BABE-04779D017BFC}"/>
    <cellStyle name="Percent 6 14" xfId="2567" xr:uid="{F8977C07-A78D-4F48-9D1D-FC1EBBE58789}"/>
    <cellStyle name="Percent 6 15" xfId="2568" xr:uid="{11EEBAD6-4817-405F-859D-FF974A6ECC3D}"/>
    <cellStyle name="Percent 6 16" xfId="2569" xr:uid="{A8A024EE-38B8-4F23-BB7B-02AAB2C11313}"/>
    <cellStyle name="Percent 6 17" xfId="2570" xr:uid="{0F564FC7-4959-467E-BF3D-3243F9DA6238}"/>
    <cellStyle name="Percent 6 18" xfId="2571" xr:uid="{55704BFC-9DE0-4E11-A9F4-0A391C210EC7}"/>
    <cellStyle name="Percent 6 19" xfId="2572" xr:uid="{BE73C65E-3F74-4C83-B3A2-040F9158CA33}"/>
    <cellStyle name="Percent 6 2" xfId="2573" xr:uid="{09F2E7C5-9E04-48C7-9EBE-0A0381BEAF9C}"/>
    <cellStyle name="Percent 6 20" xfId="2574" xr:uid="{A370E048-3225-4A47-AC7D-EFF61FC00D0F}"/>
    <cellStyle name="Percent 6 21" xfId="2575" xr:uid="{9A17A32E-F0F3-421C-ACFF-795AD0301B1A}"/>
    <cellStyle name="Percent 6 22" xfId="2576" xr:uid="{0D0AD105-EA76-4E1F-8532-79D94D977149}"/>
    <cellStyle name="Percent 6 23" xfId="2577" xr:uid="{83D0640D-AB0B-4700-B55E-73F9DA66426E}"/>
    <cellStyle name="Percent 6 24" xfId="2578" xr:uid="{FD131DE3-730A-41B2-BDB4-FC13D55B2C1B}"/>
    <cellStyle name="Percent 6 25" xfId="2579" xr:uid="{518BF5A6-53DC-4FE9-BE99-25B485AF6900}"/>
    <cellStyle name="Percent 6 26" xfId="2580" xr:uid="{AC4F06CA-0301-4276-97DD-31B14053BA27}"/>
    <cellStyle name="Percent 6 27" xfId="2581" xr:uid="{722177B7-950B-4ECA-8686-74A9563AFE3C}"/>
    <cellStyle name="Percent 6 28" xfId="2582" xr:uid="{B2E8545F-34E7-4363-B968-CFE32E19EC77}"/>
    <cellStyle name="Percent 6 29" xfId="2583" xr:uid="{A9B988F3-3C83-4608-8569-0D27E2150DA3}"/>
    <cellStyle name="Percent 6 3" xfId="2584" xr:uid="{42D0DAD0-100A-43C5-B827-2D0A91C851CB}"/>
    <cellStyle name="Percent 6 30" xfId="2585" xr:uid="{04325ADE-1538-48EA-82AD-9DE7AD849881}"/>
    <cellStyle name="Percent 6 31" xfId="2586" xr:uid="{51E2D47C-94D0-48ED-A815-0AD09070BD9C}"/>
    <cellStyle name="Percent 6 32" xfId="2587" xr:uid="{AAC71948-17B1-4562-88EA-EEC2907582AB}"/>
    <cellStyle name="Percent 6 33" xfId="2588" xr:uid="{4A24BF33-BD71-4028-A5E8-4375EA99182F}"/>
    <cellStyle name="Percent 6 34" xfId="2589" xr:uid="{57AA0048-682D-4D69-875E-4B965F48DAA8}"/>
    <cellStyle name="Percent 6 35" xfId="2590" xr:uid="{F7BF4C4D-4248-4480-858D-9C25ECFA390B}"/>
    <cellStyle name="Percent 6 36" xfId="2591" xr:uid="{C373BAB4-BAD8-41D2-8815-8C39F3CDC159}"/>
    <cellStyle name="Percent 6 37" xfId="2592" xr:uid="{F1996A8C-8E4F-45DD-9A6C-9BA95406ED5D}"/>
    <cellStyle name="Percent 6 38" xfId="2593" xr:uid="{32E7694D-C456-4F17-95F4-9997BDE68615}"/>
    <cellStyle name="Percent 6 39" xfId="2594" xr:uid="{FA94D040-ABA9-4D4A-B61C-22226A6BFD25}"/>
    <cellStyle name="Percent 6 4" xfId="2595" xr:uid="{26D64B4B-8A9C-433D-AF46-70E4ECCE0F65}"/>
    <cellStyle name="Percent 6 40" xfId="2596" xr:uid="{3B3EDADC-A235-4B1B-8A81-AF3699D72FCF}"/>
    <cellStyle name="Percent 6 41" xfId="2597" xr:uid="{15D55A4F-3336-4126-82D4-D8A12FA6EF5A}"/>
    <cellStyle name="Percent 6 42" xfId="2598" xr:uid="{F13BE415-DCFA-493D-81C4-CF50C9A7064C}"/>
    <cellStyle name="Percent 6 43" xfId="2599" xr:uid="{C4D62E66-BEB4-4B50-8A06-3E9858F6442D}"/>
    <cellStyle name="Percent 6 44" xfId="2600" xr:uid="{4C787C68-3559-4950-BF60-053CAA73306A}"/>
    <cellStyle name="Percent 6 45" xfId="2601" xr:uid="{0DEA500C-A6FE-41F6-9A20-1B2DA0DAA32D}"/>
    <cellStyle name="Percent 6 46" xfId="2602" xr:uid="{A0CED9DB-D94D-41F7-B237-8328425D5D66}"/>
    <cellStyle name="Percent 6 47" xfId="2603" xr:uid="{CA616C33-D16C-4524-8C77-D74AD2470606}"/>
    <cellStyle name="Percent 6 48" xfId="2604" xr:uid="{F94AC552-BE98-4E74-9DC2-58FC624DF1CD}"/>
    <cellStyle name="Percent 6 49" xfId="2605" xr:uid="{948C8351-10B5-4524-8DD2-37157ABA55F7}"/>
    <cellStyle name="Percent 6 5" xfId="2606" xr:uid="{0B910E58-6EFC-40AA-BFDC-ED0D94BB8F57}"/>
    <cellStyle name="Percent 6 50" xfId="2607" xr:uid="{27B0FC3D-8A02-4A3B-B9F9-E26127DC9EDE}"/>
    <cellStyle name="Percent 6 51" xfId="2608" xr:uid="{8771CB6F-D218-4C74-9FCB-4C122927D7FF}"/>
    <cellStyle name="Percent 6 52" xfId="2609" xr:uid="{76F80FFD-E32B-4A90-A8C0-71D327C50592}"/>
    <cellStyle name="Percent 6 53" xfId="2610" xr:uid="{60534A99-4410-4688-969C-B522C84ED432}"/>
    <cellStyle name="Percent 6 54" xfId="2611" xr:uid="{625401FA-CF23-4AD2-A3D5-0311165D36CF}"/>
    <cellStyle name="Percent 6 55" xfId="2612" xr:uid="{64B1BAF3-C876-4780-8F82-7715A0FE4D39}"/>
    <cellStyle name="Percent 6 56" xfId="2613" xr:uid="{A03CFF99-6B9B-4764-9E37-2A1D9B98F93A}"/>
    <cellStyle name="Percent 6 57" xfId="2614" xr:uid="{25506CD2-EAB6-421E-9779-0627D63CEE15}"/>
    <cellStyle name="Percent 6 58" xfId="2615" xr:uid="{C8A72D40-44EB-421D-B345-FBAD8599471D}"/>
    <cellStyle name="Percent 6 59" xfId="2616" xr:uid="{6AD5E57B-E94C-4498-844F-DBB5C40E0D2A}"/>
    <cellStyle name="Percent 6 6" xfId="2617" xr:uid="{9260E260-2F14-46FB-9882-B64B5D3C7DD3}"/>
    <cellStyle name="Percent 6 60" xfId="2618" xr:uid="{38977299-ED1E-4846-A12F-4DB0033882C0}"/>
    <cellStyle name="Percent 6 61" xfId="2619" xr:uid="{FE0FBFE7-68CA-4235-9A4A-74D2A1CFBC55}"/>
    <cellStyle name="Percent 6 62" xfId="2620" xr:uid="{1CF7171D-C213-490D-BC62-69256184C114}"/>
    <cellStyle name="Percent 6 63" xfId="2621" xr:uid="{27CCA974-44B8-468F-B383-8BFF9A6E911D}"/>
    <cellStyle name="Percent 6 7" xfId="2622" xr:uid="{3FF5EA26-91AF-4099-911D-D94C1BFD57CF}"/>
    <cellStyle name="Percent 6 8" xfId="2623" xr:uid="{B81DFDD2-4FA6-4749-AD42-4E39DA46C09B}"/>
    <cellStyle name="Percent 6 9" xfId="2624" xr:uid="{D040F567-41B2-42E6-9F9A-E3D3EB0F699C}"/>
    <cellStyle name="Percent 7" xfId="2625" xr:uid="{59E5FB9C-09D8-4B76-BFB7-9804D5DA0354}"/>
    <cellStyle name="Percent 7 10" xfId="2626" xr:uid="{AF59AD00-AD29-4764-91C2-ED56C37FB7A1}"/>
    <cellStyle name="Percent 7 11" xfId="2627" xr:uid="{E9127017-9AF1-46EC-A2B3-3F0B77FE8EEC}"/>
    <cellStyle name="Percent 7 12" xfId="2628" xr:uid="{7CB9C27A-E1AC-4EC6-956F-C835CBC8C50C}"/>
    <cellStyle name="Percent 7 13" xfId="2629" xr:uid="{6F998DF6-660A-4989-B9A1-4608F9DBABF9}"/>
    <cellStyle name="Percent 7 14" xfId="2630" xr:uid="{817B3720-5583-4411-AB65-4D01B10F2812}"/>
    <cellStyle name="Percent 7 15" xfId="2631" xr:uid="{4EE4710F-61E7-4A86-9681-DFC4CE8545A2}"/>
    <cellStyle name="Percent 7 16" xfId="2632" xr:uid="{82392E16-A716-4F2C-9DD7-44202FE78A48}"/>
    <cellStyle name="Percent 7 17" xfId="2633" xr:uid="{15533EC6-0F6D-499F-98B1-3B8DFC4BBBED}"/>
    <cellStyle name="Percent 7 18" xfId="2634" xr:uid="{B020CBDA-3152-4642-9843-428AD5205EEC}"/>
    <cellStyle name="Percent 7 19" xfId="2635" xr:uid="{C7C2D6AE-D452-4EA8-AD29-2A6C48DEF7A4}"/>
    <cellStyle name="Percent 7 2" xfId="2636" xr:uid="{A178C1BE-ACAD-48BE-A541-33B9B8F057DA}"/>
    <cellStyle name="Percent 7 20" xfId="2637" xr:uid="{DBE651C8-76A2-4A37-9142-4B6595084315}"/>
    <cellStyle name="Percent 7 21" xfId="2638" xr:uid="{564990F0-3D93-49E3-8FBA-B42734D10938}"/>
    <cellStyle name="Percent 7 22" xfId="2639" xr:uid="{55E831B6-C4EE-4EAA-8CA4-55EFE6D1456A}"/>
    <cellStyle name="Percent 7 23" xfId="2640" xr:uid="{4C557FBA-4AFC-4EEB-8CD6-619E8CA3643E}"/>
    <cellStyle name="Percent 7 24" xfId="2641" xr:uid="{CA81C8CE-0ABC-4EB9-9788-7018F46C44A4}"/>
    <cellStyle name="Percent 7 25" xfId="2642" xr:uid="{4E0FE46C-C358-4811-922E-00B84ABA8464}"/>
    <cellStyle name="Percent 7 26" xfId="2643" xr:uid="{17896243-504C-43BD-960F-13AFF9B73778}"/>
    <cellStyle name="Percent 7 27" xfId="2644" xr:uid="{0924EE23-F438-4D4A-A10B-40A4056D7634}"/>
    <cellStyle name="Percent 7 28" xfId="2645" xr:uid="{9DA6B80A-A193-406E-9777-FB73CEA28724}"/>
    <cellStyle name="Percent 7 29" xfId="2646" xr:uid="{597D577E-2E5D-4F8E-B58F-7AB93EF44DAB}"/>
    <cellStyle name="Percent 7 3" xfId="2647" xr:uid="{3E1ED76E-0205-401F-A004-04C613C2A5EA}"/>
    <cellStyle name="Percent 7 3 10" xfId="2648" xr:uid="{C36D69EC-3C9A-449E-9D80-E831A3E8524A}"/>
    <cellStyle name="Percent 7 3 11" xfId="2649" xr:uid="{70CC03C0-5DF6-4DB4-9C18-B3C6DCE5ED29}"/>
    <cellStyle name="Percent 7 3 12" xfId="2650" xr:uid="{B608C286-5AAC-4D16-9804-9A4D190F0878}"/>
    <cellStyle name="Percent 7 3 13" xfId="2651" xr:uid="{C9CC974E-6332-447E-A002-1E1B8ECB4A7F}"/>
    <cellStyle name="Percent 7 3 14" xfId="2652" xr:uid="{0B7D2B13-972D-4701-BE7D-1407F023A2CE}"/>
    <cellStyle name="Percent 7 3 15" xfId="2653" xr:uid="{B32D00CC-F053-4E69-B3CE-9C19DEE6C3AC}"/>
    <cellStyle name="Percent 7 3 16" xfId="2654" xr:uid="{3CE929D8-AFB0-4B0D-902C-673ED8FD0112}"/>
    <cellStyle name="Percent 7 3 17" xfId="2655" xr:uid="{6DEFB038-E9B6-461E-AC61-1D08FD564AC9}"/>
    <cellStyle name="Percent 7 3 18" xfId="2656" xr:uid="{4AAD1DFA-2079-4BE5-A611-FED2228132AF}"/>
    <cellStyle name="Percent 7 3 19" xfId="2657" xr:uid="{8D66C1B5-CA2A-4EA2-85B9-B9AD298C1E5B}"/>
    <cellStyle name="Percent 7 3 2" xfId="2658" xr:uid="{7B021F99-D3DA-480B-BC48-4AE9CB2A059F}"/>
    <cellStyle name="Percent 7 3 20" xfId="2659" xr:uid="{4E8F9210-DEB5-4439-A967-4E3A9E34256B}"/>
    <cellStyle name="Percent 7 3 21" xfId="2660" xr:uid="{09A1D77C-DDA0-4EAB-AFE2-C31A0D94F5F2}"/>
    <cellStyle name="Percent 7 3 22" xfId="2661" xr:uid="{F693034C-9157-4DAE-8479-4A5477AEFCBC}"/>
    <cellStyle name="Percent 7 3 23" xfId="2662" xr:uid="{C67F5838-7242-4927-BABD-25513654FB9E}"/>
    <cellStyle name="Percent 7 3 24" xfId="2663" xr:uid="{5FAAB7E6-A96C-43FA-B259-18EB4D3ECB5B}"/>
    <cellStyle name="Percent 7 3 25" xfId="2664" xr:uid="{F77BB5A7-FCAB-416A-9ABE-637CA838F8D4}"/>
    <cellStyle name="Percent 7 3 26" xfId="2665" xr:uid="{E16ACB9C-623D-4F12-91FB-C1D9E4B5E46F}"/>
    <cellStyle name="Percent 7 3 3" xfId="2666" xr:uid="{20239F45-16F0-43DE-8F21-D2416E78BE9E}"/>
    <cellStyle name="Percent 7 3 4" xfId="2667" xr:uid="{A2BF2522-212A-47DA-853A-581C5D97161D}"/>
    <cellStyle name="Percent 7 3 5" xfId="2668" xr:uid="{73CCD382-C485-47E0-BE9A-0EEFD3B4527A}"/>
    <cellStyle name="Percent 7 3 6" xfId="2669" xr:uid="{46FA73DF-D174-4B6A-AC07-B23B903983C6}"/>
    <cellStyle name="Percent 7 3 7" xfId="2670" xr:uid="{86A49035-C167-48CF-80BF-71A6253C372E}"/>
    <cellStyle name="Percent 7 3 8" xfId="2671" xr:uid="{BDE02F05-AD97-44CA-A20C-967CAF854366}"/>
    <cellStyle name="Percent 7 3 9" xfId="2672" xr:uid="{86C64275-7340-4480-BA85-5216F2CC9DCB}"/>
    <cellStyle name="Percent 7 30" xfId="2673" xr:uid="{6A7429EB-44F2-42CB-BB67-C72569D9807B}"/>
    <cellStyle name="Percent 7 31" xfId="2674" xr:uid="{FFB1391E-D522-4BEE-9FB1-A7117EED753E}"/>
    <cellStyle name="Percent 7 32" xfId="2675" xr:uid="{5FD30FBB-9AD9-4243-9F70-C50E5248C85E}"/>
    <cellStyle name="Percent 7 33" xfId="2676" xr:uid="{0549AD49-9118-4797-83EF-97A0466B30D6}"/>
    <cellStyle name="Percent 7 34" xfId="2677" xr:uid="{4F054365-D396-41D3-A91B-4519D2475B09}"/>
    <cellStyle name="Percent 7 35" xfId="2678" xr:uid="{7BB371BB-EFEF-46A4-8B72-B0A215DAD81C}"/>
    <cellStyle name="Percent 7 36" xfId="2679" xr:uid="{E4FF8973-A417-481F-AB23-8F91FD6C01D5}"/>
    <cellStyle name="Percent 7 37" xfId="2680" xr:uid="{022D4F22-BB5F-451D-96D2-84877151F5CC}"/>
    <cellStyle name="Percent 7 38" xfId="2681" xr:uid="{F9148BB6-29C7-49C6-ADC3-4FDAEBDE32E8}"/>
    <cellStyle name="Percent 7 39" xfId="2682" xr:uid="{18206B0A-163F-457B-9256-A7E35AFF3AE1}"/>
    <cellStyle name="Percent 7 4" xfId="2683" xr:uid="{258819C6-2831-491D-8745-CD1B4B7C58C9}"/>
    <cellStyle name="Percent 7 40" xfId="2684" xr:uid="{35CBEA98-9E2E-4F40-87F1-D54227F30A1B}"/>
    <cellStyle name="Percent 7 41" xfId="2685" xr:uid="{923116F8-B2BC-4240-A304-1E26370B2A23}"/>
    <cellStyle name="Percent 7 42" xfId="2686" xr:uid="{A6E80627-EA89-4F25-BA0C-3AD64774E0CB}"/>
    <cellStyle name="Percent 7 43" xfId="2687" xr:uid="{9CDFD084-4D22-4681-BE76-9E1088AED1A0}"/>
    <cellStyle name="Percent 7 44" xfId="2688" xr:uid="{615ED178-17B5-48C2-8E1C-A7B656098112}"/>
    <cellStyle name="Percent 7 45" xfId="2689" xr:uid="{22D6DF96-4026-41E3-AF4A-A9108E99DBC2}"/>
    <cellStyle name="Percent 7 46" xfId="2690" xr:uid="{E6335190-EC6F-4298-AE7B-4EC002B05487}"/>
    <cellStyle name="Percent 7 47" xfId="2691" xr:uid="{1E044CC5-D6AE-487A-886C-822DC92B94C3}"/>
    <cellStyle name="Percent 7 48" xfId="2692" xr:uid="{32189A37-3E72-47C7-8E63-0536405F7B09}"/>
    <cellStyle name="Percent 7 49" xfId="2693" xr:uid="{3C1CD8F0-2303-4BBE-AC32-2C58B8662C69}"/>
    <cellStyle name="Percent 7 5" xfId="2694" xr:uid="{010F3A96-E6C8-43B7-934B-3C47EE3E7E95}"/>
    <cellStyle name="Percent 7 5 10" xfId="2695" xr:uid="{9CDD5E5F-54CD-4D23-9DF5-9FD9447475B2}"/>
    <cellStyle name="Percent 7 5 11" xfId="2696" xr:uid="{39D5D1BF-CDA6-46EE-90FB-E96304862F6B}"/>
    <cellStyle name="Percent 7 5 12" xfId="2697" xr:uid="{5755D5FB-D93E-4534-BB62-51781B1A2F6A}"/>
    <cellStyle name="Percent 7 5 13" xfId="2698" xr:uid="{EAE7AE62-ABA5-43A1-B3A7-B5F6DE9C3680}"/>
    <cellStyle name="Percent 7 5 14" xfId="2699" xr:uid="{35411F68-D6B3-406E-8C12-658BA8A09071}"/>
    <cellStyle name="Percent 7 5 15" xfId="2700" xr:uid="{8FCED361-8718-4F25-8D7D-8971E314527D}"/>
    <cellStyle name="Percent 7 5 16" xfId="2701" xr:uid="{81BFD8A0-54D7-4EA1-9E48-923558EBCD1A}"/>
    <cellStyle name="Percent 7 5 17" xfId="2702" xr:uid="{9BACEA32-5B24-468C-85FD-939CC77272E3}"/>
    <cellStyle name="Percent 7 5 18" xfId="2703" xr:uid="{6B954666-4539-4B33-A822-B65D71F6E1DB}"/>
    <cellStyle name="Percent 7 5 19" xfId="2704" xr:uid="{212125B0-3246-4E7B-9A71-02F4F6F6C6FC}"/>
    <cellStyle name="Percent 7 5 2" xfId="2705" xr:uid="{DEDC6DA8-00F1-4EBC-A93D-3964239C0349}"/>
    <cellStyle name="Percent 7 5 20" xfId="2706" xr:uid="{A204BC87-967D-4FEC-BEEE-12B696B07D0E}"/>
    <cellStyle name="Percent 7 5 21" xfId="2707" xr:uid="{7C8B602B-7742-4A2F-996C-C34916D9F377}"/>
    <cellStyle name="Percent 7 5 22" xfId="2708" xr:uid="{CD8228F4-88C6-4B2A-8158-86D4E0CDB642}"/>
    <cellStyle name="Percent 7 5 23" xfId="2709" xr:uid="{E0DE5F29-EFF0-426A-AB1F-5ABA97C7FAFC}"/>
    <cellStyle name="Percent 7 5 24" xfId="2710" xr:uid="{ADF20ACD-9E97-4C85-B6A6-BD011821B8D8}"/>
    <cellStyle name="Percent 7 5 25" xfId="2711" xr:uid="{FCB24B4E-E171-4DDA-A795-FC848078D6C6}"/>
    <cellStyle name="Percent 7 5 26" xfId="2712" xr:uid="{6E7E8E19-593C-476B-8B37-45787F1C7E0C}"/>
    <cellStyle name="Percent 7 5 27" xfId="2713" xr:uid="{696EFC92-5C3A-4F5E-A931-86E39943ADB5}"/>
    <cellStyle name="Percent 7 5 28" xfId="2714" xr:uid="{01DADF3A-5800-41F2-BD13-A055E19833F5}"/>
    <cellStyle name="Percent 7 5 29" xfId="2715" xr:uid="{D4C52C94-7118-4A4F-8602-451BAE0ED156}"/>
    <cellStyle name="Percent 7 5 3" xfId="2716" xr:uid="{D805081B-167C-46BD-8533-68BE846B1549}"/>
    <cellStyle name="Percent 7 5 30" xfId="2717" xr:uid="{F88FD4CD-1862-4A00-80E4-40171317640E}"/>
    <cellStyle name="Percent 7 5 31" xfId="2718" xr:uid="{C9306FCF-C2D7-4A28-A451-073E70609EC6}"/>
    <cellStyle name="Percent 7 5 32" xfId="2719" xr:uid="{ADAAC8C5-EA07-49F0-B199-71696DFA4D11}"/>
    <cellStyle name="Percent 7 5 33" xfId="2720" xr:uid="{9F9CBEF9-105D-4D4C-AE14-98E4682A12B7}"/>
    <cellStyle name="Percent 7 5 34" xfId="2721" xr:uid="{9DA80FD4-65A2-49C3-9CEB-6A47506BD38F}"/>
    <cellStyle name="Percent 7 5 35" xfId="2722" xr:uid="{94ACA345-8AEC-4524-839E-D7A23E05CFEE}"/>
    <cellStyle name="Percent 7 5 36" xfId="2723" xr:uid="{BA605A3C-DB76-4169-AADA-97F8EA3AE43D}"/>
    <cellStyle name="Percent 7 5 37" xfId="2724" xr:uid="{8C507D04-5933-449E-8A5F-48AF0500A79A}"/>
    <cellStyle name="Percent 7 5 38" xfId="2725" xr:uid="{3FA94586-071C-4BBC-96AA-7D71A26CBDAD}"/>
    <cellStyle name="Percent 7 5 39" xfId="2726" xr:uid="{159430E6-86AD-4810-8732-144392B2493E}"/>
    <cellStyle name="Percent 7 5 4" xfId="2727" xr:uid="{24E860C7-710B-4F7B-9632-8E57B069B7E3}"/>
    <cellStyle name="Percent 7 5 40" xfId="2728" xr:uid="{4A184CA6-2B2D-4911-95CD-74EA57A6280C}"/>
    <cellStyle name="Percent 7 5 41" xfId="2729" xr:uid="{D5D70A7A-8098-4E70-8FB8-1777B61A3CB6}"/>
    <cellStyle name="Percent 7 5 42" xfId="2730" xr:uid="{462E9427-4FF3-4102-A8D7-4EAE53A41A61}"/>
    <cellStyle name="Percent 7 5 43" xfId="2731" xr:uid="{E5A4BE27-B933-447D-97C9-5804694689C2}"/>
    <cellStyle name="Percent 7 5 44" xfId="2732" xr:uid="{DBB23AAB-2EF7-4B7E-A449-7AA3FB4CFDC8}"/>
    <cellStyle name="Percent 7 5 45" xfId="2733" xr:uid="{71D9FEA5-80D4-4EE3-8DA6-88C66567C200}"/>
    <cellStyle name="Percent 7 5 46" xfId="2734" xr:uid="{F27512AD-DEA2-4D77-A336-9EB8C00BAD6E}"/>
    <cellStyle name="Percent 7 5 47" xfId="2735" xr:uid="{A526EB38-D91A-49BD-B128-D3E7E3564CC6}"/>
    <cellStyle name="Percent 7 5 48" xfId="2736" xr:uid="{38317C36-1EC8-4F13-B60A-9DEEA4E4AD17}"/>
    <cellStyle name="Percent 7 5 49" xfId="2737" xr:uid="{35975A88-8B4C-4DBA-8DB3-5EF0A45ABCCE}"/>
    <cellStyle name="Percent 7 5 5" xfId="2738" xr:uid="{C81322EE-4D5B-4BA6-A8F0-5DB56E176374}"/>
    <cellStyle name="Percent 7 5 50" xfId="2739" xr:uid="{5CFC928F-50B1-4B86-A4B4-B0C511E38088}"/>
    <cellStyle name="Percent 7 5 51" xfId="2740" xr:uid="{3F5E71DA-7A6C-413C-81DA-AD0FEDF45119}"/>
    <cellStyle name="Percent 7 5 52" xfId="2741" xr:uid="{A87B9B64-195C-473E-AF77-154BE848532C}"/>
    <cellStyle name="Percent 7 5 53" xfId="2742" xr:uid="{CFD93F1B-FBEB-41ED-9AD8-E401384A85E3}"/>
    <cellStyle name="Percent 7 5 54" xfId="2743" xr:uid="{02FA87BA-81E2-4D9E-8DF6-F263E11E5F2B}"/>
    <cellStyle name="Percent 7 5 55" xfId="2744" xr:uid="{45AE466D-6122-4058-8B66-970C5B572323}"/>
    <cellStyle name="Percent 7 5 56" xfId="2745" xr:uid="{9514F651-8E60-4371-8326-22A6C6A8884A}"/>
    <cellStyle name="Percent 7 5 57" xfId="2746" xr:uid="{11518C31-953B-467B-A972-676864D3BB36}"/>
    <cellStyle name="Percent 7 5 58" xfId="2747" xr:uid="{B7683B62-7294-4094-816E-996C75F8A727}"/>
    <cellStyle name="Percent 7 5 59" xfId="2748" xr:uid="{280BA355-9FB7-44FC-B2A7-E91F6EAB00F9}"/>
    <cellStyle name="Percent 7 5 6" xfId="2749" xr:uid="{9A0A070E-E174-4CA3-9FE8-0D81589B7373}"/>
    <cellStyle name="Percent 7 5 60" xfId="2750" xr:uid="{50C41281-9CC1-4F32-BEDC-D1D5DECFF5E5}"/>
    <cellStyle name="Percent 7 5 61" xfId="2751" xr:uid="{87D3E906-45A7-4465-8298-9A0F0B19F68E}"/>
    <cellStyle name="Percent 7 5 62" xfId="2752" xr:uid="{FD98D123-CF71-4D24-A7B0-380A0097CBF8}"/>
    <cellStyle name="Percent 7 5 63" xfId="2753" xr:uid="{25F2034A-9E5E-4A6B-B0C3-C6F7C52B7A33}"/>
    <cellStyle name="Percent 7 5 64" xfId="2754" xr:uid="{2B86DFB2-FA8D-453B-9F2D-EBFB307FC7EC}"/>
    <cellStyle name="Percent 7 5 65" xfId="2755" xr:uid="{B40943DA-F6B1-40FD-96A7-D98140567466}"/>
    <cellStyle name="Percent 7 5 66" xfId="2756" xr:uid="{9F556A8C-7F4C-4F47-B52D-F7FC8870694C}"/>
    <cellStyle name="Percent 7 5 67" xfId="2757" xr:uid="{8D00F44B-F4AC-4534-97FD-1ED1DBD86881}"/>
    <cellStyle name="Percent 7 5 68" xfId="2758" xr:uid="{50DFF881-BD4A-4910-B8D8-AB8ACC6CE947}"/>
    <cellStyle name="Percent 7 5 69" xfId="2759" xr:uid="{307390BF-44B4-4474-9F97-89C93AAD506A}"/>
    <cellStyle name="Percent 7 5 7" xfId="2760" xr:uid="{44B8B1C3-785D-4177-A82C-17866AE3CA4C}"/>
    <cellStyle name="Percent 7 5 70" xfId="2761" xr:uid="{46DD8E1C-38D1-4D3A-970E-B2C46C5CD735}"/>
    <cellStyle name="Percent 7 5 71" xfId="2762" xr:uid="{FFEEA208-0549-4E3F-A498-4B590EA5CF54}"/>
    <cellStyle name="Percent 7 5 8" xfId="2763" xr:uid="{198F6734-E5C9-4F8A-8ADA-3AEA3B65A05C}"/>
    <cellStyle name="Percent 7 5 9" xfId="2764" xr:uid="{1B292D10-B726-40C6-BB54-CF202EA0BC5D}"/>
    <cellStyle name="Percent 7 50" xfId="2765" xr:uid="{9E089B7D-2C00-417F-BCD5-285A919D6102}"/>
    <cellStyle name="Percent 7 51" xfId="2766" xr:uid="{FAE58F1A-CB57-48BE-A0CD-63E4C2EE3656}"/>
    <cellStyle name="Percent 7 52" xfId="2767" xr:uid="{92916F4F-9ACF-4DE6-BA19-41D1B1AF7036}"/>
    <cellStyle name="Percent 7 53" xfId="2768" xr:uid="{34040B4C-A574-4A84-92C4-9102FD403236}"/>
    <cellStyle name="Percent 7 54" xfId="2769" xr:uid="{02FB7EBE-A277-4904-9EDE-B892B452AA66}"/>
    <cellStyle name="Percent 7 55" xfId="2770" xr:uid="{402F4F77-5B88-4FDB-9E1B-1972EB5AEEC9}"/>
    <cellStyle name="Percent 7 56" xfId="2771" xr:uid="{082CBFF5-15A9-471C-8F1E-9B94D2BBA868}"/>
    <cellStyle name="Percent 7 57" xfId="2772" xr:uid="{B5EBEE04-C918-432F-8029-5C8FE7C34263}"/>
    <cellStyle name="Percent 7 58" xfId="2773" xr:uid="{1DA0EE2D-6663-4127-AF89-1581E2846D3F}"/>
    <cellStyle name="Percent 7 59" xfId="2774" xr:uid="{A31087DA-93F4-4973-B3D7-643F1A7B3AC8}"/>
    <cellStyle name="Percent 7 6" xfId="2775" xr:uid="{C1B8C9C3-9311-4D0A-90F2-B9E7B617F37C}"/>
    <cellStyle name="Percent 7 60" xfId="2776" xr:uid="{AE58A792-8DFA-4948-BFE0-0217F4C029F0}"/>
    <cellStyle name="Percent 7 60 2" xfId="2777" xr:uid="{0E1A02CE-F481-46FC-99CB-F47B8FE11AB7}"/>
    <cellStyle name="Percent 7 60 3" xfId="2778" xr:uid="{BA62910E-2682-4E72-BB08-406AE51D7BF4}"/>
    <cellStyle name="Percent 7 60 3 2" xfId="2779" xr:uid="{31B3396E-F71D-4EAA-9529-8E823FAAC29C}"/>
    <cellStyle name="Percent 7 61" xfId="2780" xr:uid="{9AF9DF74-0320-4C35-BBA0-A76CB7624619}"/>
    <cellStyle name="Percent 7 62" xfId="2781" xr:uid="{D576785A-AE84-4111-84A2-8A01AF176836}"/>
    <cellStyle name="Percent 7 63" xfId="2782" xr:uid="{9A5595E9-E0E0-4C4A-821B-E22B73B53BD1}"/>
    <cellStyle name="Percent 7 64" xfId="2783" xr:uid="{98DEBC11-B9FF-4581-A2F0-258FA685B6C1}"/>
    <cellStyle name="Percent 7 65" xfId="2784" xr:uid="{0C83EA1B-7B4B-4379-B6AB-D0CAD934EBCE}"/>
    <cellStyle name="Percent 7 66" xfId="2785" xr:uid="{4D060E29-BE34-4899-B507-82361FA23010}"/>
    <cellStyle name="Percent 7 67" xfId="2786" xr:uid="{B120ADB9-74ED-4738-8870-5AD414B11818}"/>
    <cellStyle name="Percent 7 68" xfId="2787" xr:uid="{F1816890-2C1C-4176-9A43-0D4F7E2CCAD2}"/>
    <cellStyle name="Percent 7 69" xfId="2788" xr:uid="{2245D4F2-2E34-469F-B283-E817992853D0}"/>
    <cellStyle name="Percent 7 7" xfId="2789" xr:uid="{D24BD9E5-285F-4B9C-A029-BEB9A23C35D9}"/>
    <cellStyle name="Percent 7 70" xfId="2790" xr:uid="{48BF6A0A-5D50-4117-AFAF-E8B8A2684876}"/>
    <cellStyle name="Percent 7 71" xfId="2791" xr:uid="{E09BA8F0-D131-4628-B1A4-E5CCF64D6ED7}"/>
    <cellStyle name="Percent 7 72" xfId="2792" xr:uid="{D8623061-15DF-41DF-9D27-E3A3C35EEDC8}"/>
    <cellStyle name="Percent 7 73" xfId="2793" xr:uid="{8C381E38-C053-4A9B-B7CB-821983D9EFCE}"/>
    <cellStyle name="Percent 7 74" xfId="2794" xr:uid="{4A26644A-356F-47C3-BCAC-52DF6023E929}"/>
    <cellStyle name="Percent 7 8" xfId="2795" xr:uid="{FF089936-C201-442A-A57A-635CD1F0FA11}"/>
    <cellStyle name="Percent 7 9" xfId="2796" xr:uid="{7A93380F-31A3-4F66-8C7F-2046FF5833EE}"/>
    <cellStyle name="Percent 8" xfId="2809" xr:uid="{D57A8B0E-ADC3-417D-9E49-1F40888F0B7A}"/>
    <cellStyle name="Percent 86" xfId="18" xr:uid="{00000000-0005-0000-0000-00002D000000}"/>
    <cellStyle name="Percent 91 3 2" xfId="2827" xr:uid="{C665163C-BBFC-4169-A03D-8F63D35B0B40}"/>
    <cellStyle name="Rule (bottom)" xfId="2797" xr:uid="{25F18C52-9D97-4620-AA62-A5F44ABC83B8}"/>
    <cellStyle name="Rule (bottom, heavy)" xfId="2798" xr:uid="{87AF517E-2B23-4785-8A1D-4944E0B68577}"/>
    <cellStyle name="Shaded" xfId="2799" xr:uid="{5501AE22-3459-4020-9AFD-D02D29E3E707}"/>
    <cellStyle name="Shaded 2" xfId="2807" xr:uid="{436AC1B9-CF05-49E5-872A-98ACAEC21F7A}"/>
    <cellStyle name="Style 1" xfId="2800" xr:uid="{34A58851-BE9E-4E58-A34E-6B97E93169B5}"/>
    <cellStyle name="Text" xfId="2801" xr:uid="{489EDA59-A786-4B7C-AF54-1C3D79D56B34}"/>
    <cellStyle name="Title 2" xfId="2802" xr:uid="{DB73610C-2462-4024-B736-8A0336E79087}"/>
    <cellStyle name="Year" xfId="2803" xr:uid="{E2ACB58A-204E-4A82-9D6D-ED71E49119AD}"/>
  </cellStyles>
  <dxfs count="78">
    <dxf>
      <fill>
        <patternFill>
          <bgColor rgb="FFFFC000"/>
        </patternFill>
      </fill>
    </dxf>
    <dxf>
      <fill>
        <patternFill>
          <bgColor rgb="FFFFC000"/>
        </patternFill>
      </fill>
    </dxf>
    <dxf>
      <fill>
        <patternFill>
          <bgColor rgb="FFFFC000"/>
        </patternFill>
      </fill>
    </dxf>
    <dxf>
      <fill>
        <patternFill>
          <bgColor theme="8" tint="0.59996337778862885"/>
        </patternFill>
      </fill>
      <border>
        <left style="thin">
          <color indexed="64"/>
        </left>
        <right style="thin">
          <color indexed="64"/>
        </right>
        <top style="thin">
          <color indexed="64"/>
        </top>
        <bottom style="thin">
          <color indexed="64"/>
        </bottom>
      </border>
    </dxf>
    <dxf>
      <fill>
        <patternFill>
          <bgColor theme="9" tint="0.59996337778862885"/>
        </patternFill>
      </fill>
      <border>
        <left style="thin">
          <color indexed="64"/>
        </left>
        <right style="thin">
          <color indexed="64"/>
        </right>
        <top style="thin">
          <color indexed="64"/>
        </top>
        <bottom style="thin">
          <color indexed="64"/>
        </bottom>
      </border>
    </dxf>
    <dxf>
      <fill>
        <patternFill>
          <bgColor theme="0"/>
        </patternFill>
      </fill>
      <border>
        <left/>
        <right/>
        <top/>
        <bottom/>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ill>
        <patternFill>
          <bgColor theme="0"/>
        </patternFill>
      </fill>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ont>
        <color rgb="FFFFFFFF"/>
      </font>
    </dxf>
    <dxf>
      <font>
        <color rgb="FFFFFFFF"/>
      </font>
    </dxf>
    <dxf>
      <font>
        <color rgb="FFFFFFFF"/>
      </font>
    </dxf>
    <dxf>
      <font>
        <color rgb="FFFFFFFF"/>
      </font>
      <fill>
        <patternFill>
          <bgColor rgb="FFFFFFFF"/>
        </patternFill>
      </fill>
    </dxf>
    <dxf>
      <font>
        <color rgb="FFFFFFFF"/>
      </font>
    </dxf>
    <dxf>
      <font>
        <color rgb="FFFFFFFF"/>
      </font>
    </dxf>
    <dxf>
      <font>
        <color rgb="FFFFFFFF"/>
      </font>
    </dxf>
    <dxf>
      <font>
        <color rgb="FFFFFFFF"/>
      </font>
      <fill>
        <patternFill>
          <bgColor rgb="FFFFFFFF"/>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rgb="FFFFFFFF"/>
      </font>
    </dxf>
    <dxf>
      <font>
        <color rgb="FFFFFFFF"/>
      </font>
    </dxf>
    <dxf>
      <font>
        <color rgb="FFFFFFFF"/>
      </font>
    </dxf>
    <dxf>
      <font>
        <color rgb="FFFFFFFF"/>
      </font>
      <fill>
        <patternFill>
          <bgColor rgb="FFFFFFFF"/>
        </patternFill>
      </fill>
    </dxf>
    <dxf>
      <font>
        <color theme="0"/>
      </font>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dxf>
    <dxf>
      <font>
        <color theme="0"/>
      </font>
    </dxf>
    <dxf>
      <font>
        <color theme="0"/>
      </font>
    </dxf>
    <dxf>
      <font>
        <color theme="0"/>
      </font>
      <fill>
        <patternFill>
          <bgColor theme="0"/>
        </patternFill>
      </fill>
    </dxf>
  </dxfs>
  <tableStyles count="0" defaultTableStyle="TableStyleMedium2" defaultPivotStyle="PivotStyleLight16"/>
  <colors>
    <mruColors>
      <color rgb="FFFFFFCC"/>
      <color rgb="FFFFE2C5"/>
      <color rgb="FFCCFFFF"/>
      <color rgb="FFCCFFCC"/>
      <color rgb="FFCCFF99"/>
      <color rgb="FFDDFFFF"/>
      <color rgb="FFFFF1E5"/>
      <color rgb="FFFFD5FF"/>
      <color rgb="FFFFC1FF"/>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3" Type="http://schemas.openxmlformats.org/officeDocument/2006/relationships/customXml" Target="../customXml/item5.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2.xml"/><Relationship Id="rId52"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1.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rAngAx val="0"/>
    </c:view3D>
    <c:floor>
      <c:thickness val="0"/>
    </c:floor>
    <c:sideWall>
      <c:thickness val="0"/>
    </c:sideWall>
    <c:backWall>
      <c:thickness val="0"/>
    </c:backWall>
    <c:plotArea>
      <c:layout>
        <c:manualLayout>
          <c:layoutTarget val="inner"/>
          <c:xMode val="edge"/>
          <c:yMode val="edge"/>
          <c:x val="0.15968629419330552"/>
          <c:y val="8.6327883377635126E-2"/>
          <c:w val="0.82453605882046188"/>
          <c:h val="0.62593661855196669"/>
        </c:manualLayout>
      </c:layout>
      <c:bar3DChart>
        <c:barDir val="col"/>
        <c:grouping val="clustered"/>
        <c:varyColors val="0"/>
        <c:ser>
          <c:idx val="0"/>
          <c:order val="0"/>
          <c:invertIfNegative val="0"/>
          <c:dPt>
            <c:idx val="0"/>
            <c:invertIfNegative val="0"/>
            <c:bubble3D val="0"/>
            <c:spPr>
              <a:solidFill>
                <a:srgbClr val="FF0000"/>
              </a:solidFill>
              <a:ln>
                <a:solidFill>
                  <a:srgbClr val="FF0000"/>
                </a:solidFill>
              </a:ln>
            </c:spPr>
            <c:extLst>
              <c:ext xmlns:c16="http://schemas.microsoft.com/office/drawing/2014/chart" uri="{C3380CC4-5D6E-409C-BE32-E72D297353CC}">
                <c16:uniqueId val="{00000000-7B50-4F3C-AC0C-0CBC6E7E37A4}"/>
              </c:ext>
            </c:extLst>
          </c:dPt>
          <c:dPt>
            <c:idx val="10"/>
            <c:invertIfNegative val="0"/>
            <c:bubble3D val="0"/>
            <c:spPr>
              <a:solidFill>
                <a:srgbClr val="00B050"/>
              </a:solidFill>
              <a:ln>
                <a:solidFill>
                  <a:srgbClr val="00B050"/>
                </a:solidFill>
              </a:ln>
            </c:spPr>
            <c:extLst>
              <c:ext xmlns:c16="http://schemas.microsoft.com/office/drawing/2014/chart" uri="{C3380CC4-5D6E-409C-BE32-E72D297353CC}">
                <c16:uniqueId val="{00000003-9886-4E8B-B274-A3B02A2155DE}"/>
              </c:ext>
            </c:extLst>
          </c:dPt>
          <c:cat>
            <c:strRef>
              <c:f>'WP - Fig. 1'!$D$5:$D$48</c:f>
              <c:strCache>
                <c:ptCount val="44"/>
                <c:pt idx="0">
                  <c:v>Kentucky Power Co.</c:v>
                </c:pt>
                <c:pt idx="1">
                  <c:v>Consumers Energy Co.</c:v>
                </c:pt>
                <c:pt idx="2">
                  <c:v>AEP Texas Inc.</c:v>
                </c:pt>
                <c:pt idx="3">
                  <c:v>CenterPoint Energy Houston Elec.</c:v>
                </c:pt>
                <c:pt idx="4">
                  <c:v>Duke Energy Indiana LLC</c:v>
                </c:pt>
                <c:pt idx="5">
                  <c:v>Florida Public Utilities Co.</c:v>
                </c:pt>
                <c:pt idx="6">
                  <c:v>AES Indiana</c:v>
                </c:pt>
                <c:pt idx="7">
                  <c:v>Black Hills Colorado Electric Inc.</c:v>
                </c:pt>
                <c:pt idx="8">
                  <c:v>Central Hudson Gas &amp; Elec.</c:v>
                </c:pt>
                <c:pt idx="9">
                  <c:v>Public Service Co. of New Mexico</c:v>
                </c:pt>
                <c:pt idx="10">
                  <c:v>Kentucky Power Requested</c:v>
                </c:pt>
                <c:pt idx="11">
                  <c:v>Portland General Electric Co.</c:v>
                </c:pt>
                <c:pt idx="12">
                  <c:v>Versant Power</c:v>
                </c:pt>
                <c:pt idx="13">
                  <c:v>Orange and Rockland Utilities</c:v>
                </c:pt>
                <c:pt idx="14">
                  <c:v>Duke Energy Florida LLC</c:v>
                </c:pt>
                <c:pt idx="15">
                  <c:v>Appalachian Power Co.</c:v>
                </c:pt>
                <c:pt idx="16">
                  <c:v>Southern Indiana Gas and Elec.</c:v>
                </c:pt>
                <c:pt idx="17">
                  <c:v>Liberty Utilities Corp.</c:v>
                </c:pt>
                <c:pt idx="18">
                  <c:v>Idaho Power Co.</c:v>
                </c:pt>
                <c:pt idx="19">
                  <c:v>PacifiCorp</c:v>
                </c:pt>
                <c:pt idx="20">
                  <c:v>Avista Corp.</c:v>
                </c:pt>
                <c:pt idx="21">
                  <c:v>Potomac Electric Power Co.</c:v>
                </c:pt>
                <c:pt idx="22">
                  <c:v>Potomac Electric Power Co.</c:v>
                </c:pt>
                <c:pt idx="23">
                  <c:v>Delmarva Power &amp; Light Co.</c:v>
                </c:pt>
                <c:pt idx="24">
                  <c:v>Public Service Co. of Oklahoma</c:v>
                </c:pt>
                <c:pt idx="25">
                  <c:v>Fitchburg Gas and Electric</c:v>
                </c:pt>
                <c:pt idx="26">
                  <c:v>Massachusetts Electric Co.</c:v>
                </c:pt>
                <c:pt idx="27">
                  <c:v>Puget Sound Energy Inc.</c:v>
                </c:pt>
                <c:pt idx="28">
                  <c:v>Arizona Public Service Co.</c:v>
                </c:pt>
                <c:pt idx="29">
                  <c:v>Green Mountain Power Corp.</c:v>
                </c:pt>
                <c:pt idx="30">
                  <c:v>Jersey Central Power &amp; Light Co.</c:v>
                </c:pt>
                <c:pt idx="31">
                  <c:v>Interstate Power and Light Co.</c:v>
                </c:pt>
                <c:pt idx="32">
                  <c:v>Oklahoma Gas and Electric Co.</c:v>
                </c:pt>
                <c:pt idx="33">
                  <c:v>Duke Energy Carolinas LLC</c:v>
                </c:pt>
                <c:pt idx="34">
                  <c:v>Sierra Pacific Power Co.</c:v>
                </c:pt>
                <c:pt idx="35">
                  <c:v>Minnesota Power Enterprises</c:v>
                </c:pt>
                <c:pt idx="36">
                  <c:v>Dominion Energy South Carolina</c:v>
                </c:pt>
                <c:pt idx="37">
                  <c:v>Virginia Electric and Power Co.</c:v>
                </c:pt>
                <c:pt idx="38">
                  <c:v>UNS Electric Inc.</c:v>
                </c:pt>
                <c:pt idx="39">
                  <c:v>Public Service Electric &amp; Gas</c:v>
                </c:pt>
                <c:pt idx="40">
                  <c:v>Wisconsin Public Service Corp.</c:v>
                </c:pt>
                <c:pt idx="41">
                  <c:v>Otter Tail Power Co.</c:v>
                </c:pt>
                <c:pt idx="42">
                  <c:v>Wisconsin Electric Power Co.</c:v>
                </c:pt>
                <c:pt idx="43">
                  <c:v>Bear Valley Elec. Service Inc.</c:v>
                </c:pt>
              </c:strCache>
            </c:strRef>
          </c:cat>
          <c:val>
            <c:numRef>
              <c:f>'WP - Fig. 1'!$G$5:$G$48</c:f>
              <c:numCache>
                <c:formatCode>0.00%</c:formatCode>
                <c:ptCount val="44"/>
                <c:pt idx="0">
                  <c:v>4.0218750000000004E-2</c:v>
                </c:pt>
                <c:pt idx="1">
                  <c:v>4.1312700000000001E-2</c:v>
                </c:pt>
                <c:pt idx="2">
                  <c:v>4.1479999999999996E-2</c:v>
                </c:pt>
                <c:pt idx="3">
                  <c:v>4.1736250000000003E-2</c:v>
                </c:pt>
                <c:pt idx="4">
                  <c:v>4.2197999999999999E-2</c:v>
                </c:pt>
                <c:pt idx="5">
                  <c:v>4.3056300000000006E-2</c:v>
                </c:pt>
                <c:pt idx="6">
                  <c:v>4.3916399999999994E-2</c:v>
                </c:pt>
                <c:pt idx="7">
                  <c:v>4.5120000000000007E-2</c:v>
                </c:pt>
                <c:pt idx="8">
                  <c:v>4.5600000000000002E-2</c:v>
                </c:pt>
                <c:pt idx="9">
                  <c:v>4.5938860000000005E-2</c:v>
                </c:pt>
                <c:pt idx="10">
                  <c:v>4.6130000000000004E-2</c:v>
                </c:pt>
                <c:pt idx="11">
                  <c:v>4.6699999999999998E-2</c:v>
                </c:pt>
                <c:pt idx="12">
                  <c:v>4.675E-2</c:v>
                </c:pt>
                <c:pt idx="13">
                  <c:v>4.6799999999999994E-2</c:v>
                </c:pt>
                <c:pt idx="14">
                  <c:v>4.6937100000000002E-2</c:v>
                </c:pt>
                <c:pt idx="15">
                  <c:v>4.7033999999999999E-2</c:v>
                </c:pt>
                <c:pt idx="16">
                  <c:v>4.73144E-2</c:v>
                </c:pt>
                <c:pt idx="17">
                  <c:v>4.7320000000000001E-2</c:v>
                </c:pt>
                <c:pt idx="18">
                  <c:v>4.7500000000000001E-2</c:v>
                </c:pt>
                <c:pt idx="19">
                  <c:v>4.7500000000000001E-2</c:v>
                </c:pt>
                <c:pt idx="20">
                  <c:v>4.7530000000000003E-2</c:v>
                </c:pt>
                <c:pt idx="21">
                  <c:v>4.7975000000000004E-2</c:v>
                </c:pt>
                <c:pt idx="22">
                  <c:v>4.7975000000000004E-2</c:v>
                </c:pt>
                <c:pt idx="23">
                  <c:v>4.8479999999999995E-2</c:v>
                </c:pt>
                <c:pt idx="24">
                  <c:v>4.8563999999999996E-2</c:v>
                </c:pt>
                <c:pt idx="25">
                  <c:v>4.9124399999999999E-2</c:v>
                </c:pt>
                <c:pt idx="26">
                  <c:v>4.9396050000000004E-2</c:v>
                </c:pt>
                <c:pt idx="27">
                  <c:v>4.9500000000000002E-2</c:v>
                </c:pt>
                <c:pt idx="28">
                  <c:v>4.9593150000000003E-2</c:v>
                </c:pt>
                <c:pt idx="29">
                  <c:v>4.9660570000000008E-2</c:v>
                </c:pt>
                <c:pt idx="30">
                  <c:v>4.9824E-2</c:v>
                </c:pt>
                <c:pt idx="31">
                  <c:v>5.0336999999999993E-2</c:v>
                </c:pt>
                <c:pt idx="32">
                  <c:v>5.0825000000000002E-2</c:v>
                </c:pt>
                <c:pt idx="33">
                  <c:v>5.0902739999999988E-2</c:v>
                </c:pt>
                <c:pt idx="34">
                  <c:v>5.1037600000000002E-2</c:v>
                </c:pt>
                <c:pt idx="35">
                  <c:v>5.1833999999999998E-2</c:v>
                </c:pt>
                <c:pt idx="36">
                  <c:v>5.2194939999999995E-2</c:v>
                </c:pt>
                <c:pt idx="37">
                  <c:v>5.2237499999999999E-2</c:v>
                </c:pt>
                <c:pt idx="38">
                  <c:v>5.2377E-2</c:v>
                </c:pt>
                <c:pt idx="39">
                  <c:v>5.28E-2</c:v>
                </c:pt>
                <c:pt idx="40">
                  <c:v>5.3086600000000005E-2</c:v>
                </c:pt>
                <c:pt idx="41">
                  <c:v>5.4034999999999993E-2</c:v>
                </c:pt>
                <c:pt idx="42">
                  <c:v>5.5409199999999999E-2</c:v>
                </c:pt>
                <c:pt idx="43">
                  <c:v>5.7000000000000002E-2</c:v>
                </c:pt>
              </c:numCache>
            </c:numRef>
          </c:val>
          <c:extLst>
            <c:ext xmlns:c16="http://schemas.microsoft.com/office/drawing/2014/chart" uri="{C3380CC4-5D6E-409C-BE32-E72D297353CC}">
              <c16:uniqueId val="{00000000-F31D-41F3-82F4-527964FDBDF7}"/>
            </c:ext>
          </c:extLst>
        </c:ser>
        <c:dLbls>
          <c:showLegendKey val="0"/>
          <c:showVal val="0"/>
          <c:showCatName val="0"/>
          <c:showSerName val="0"/>
          <c:showPercent val="0"/>
          <c:showBubbleSize val="0"/>
        </c:dLbls>
        <c:gapWidth val="150"/>
        <c:shape val="box"/>
        <c:axId val="43367424"/>
        <c:axId val="43460480"/>
        <c:axId val="0"/>
      </c:bar3DChart>
      <c:catAx>
        <c:axId val="43367424"/>
        <c:scaling>
          <c:orientation val="minMax"/>
        </c:scaling>
        <c:delete val="0"/>
        <c:axPos val="b"/>
        <c:numFmt formatCode="General" sourceLinked="0"/>
        <c:majorTickMark val="out"/>
        <c:minorTickMark val="none"/>
        <c:tickLblPos val="nextTo"/>
        <c:txPr>
          <a:bodyPr rot="-2700000" vert="horz"/>
          <a:lstStyle/>
          <a:p>
            <a:pPr>
              <a:defRPr sz="1000" b="0" i="0" u="none" strike="noStrike" baseline="0">
                <a:solidFill>
                  <a:srgbClr val="000000"/>
                </a:solidFill>
                <a:latin typeface="Times New Roman" panose="02020603050405020304" pitchFamily="18" charset="0"/>
                <a:ea typeface="Calibri"/>
                <a:cs typeface="Times New Roman" panose="02020603050405020304" pitchFamily="18" charset="0"/>
              </a:defRPr>
            </a:pPr>
            <a:endParaRPr lang="en-US"/>
          </a:p>
        </c:txPr>
        <c:crossAx val="43460480"/>
        <c:crosses val="autoZero"/>
        <c:auto val="1"/>
        <c:lblAlgn val="ctr"/>
        <c:lblOffset val="100"/>
        <c:tickLblSkip val="1"/>
        <c:noMultiLvlLbl val="0"/>
      </c:catAx>
      <c:valAx>
        <c:axId val="43460480"/>
        <c:scaling>
          <c:orientation val="minMax"/>
          <c:max val="6.5000000000000016E-2"/>
          <c:min val="0"/>
        </c:scaling>
        <c:delete val="0"/>
        <c:axPos val="l"/>
        <c:majorGridlines/>
        <c:numFmt formatCode="0.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3367424"/>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686549469482217E-2"/>
          <c:y val="6.4017798051613492E-2"/>
          <c:w val="0.91057091306790094"/>
          <c:h val="0.75717602523115268"/>
        </c:manualLayout>
      </c:layout>
      <c:lineChart>
        <c:grouping val="standard"/>
        <c:varyColors val="0"/>
        <c:ser>
          <c:idx val="0"/>
          <c:order val="0"/>
          <c:tx>
            <c:strRef>
              <c:f>'Figure 3'!$C$31</c:f>
              <c:strCache>
                <c:ptCount val="1"/>
                <c:pt idx="0">
                  <c:v>Baa Utility</c:v>
                </c:pt>
              </c:strCache>
            </c:strRef>
          </c:tx>
          <c:spPr>
            <a:ln w="25400">
              <a:solidFill>
                <a:srgbClr val="7030A0"/>
              </a:solidFill>
              <a:prstDash val="solid"/>
            </a:ln>
          </c:spPr>
          <c:marker>
            <c:symbol val="circle"/>
            <c:size val="7"/>
            <c:spPr>
              <a:solidFill>
                <a:srgbClr val="7030A0"/>
              </a:solidFill>
              <a:ln>
                <a:solidFill>
                  <a:srgbClr val="7030A0"/>
                </a:solidFill>
                <a:prstDash val="solid"/>
              </a:ln>
            </c:spPr>
          </c:marker>
          <c:cat>
            <c:numRef>
              <c:f>'Figure 3'!$E$27:$O$27</c:f>
              <c:numCache>
                <c:formatCode>General</c:formatCode>
                <c:ptCount val="11"/>
                <c:pt idx="0">
                  <c:v>2021</c:v>
                </c:pt>
                <c:pt idx="1">
                  <c:v>2022</c:v>
                </c:pt>
                <c:pt idx="2">
                  <c:v>2023</c:v>
                </c:pt>
                <c:pt idx="3">
                  <c:v>2024</c:v>
                </c:pt>
                <c:pt idx="4">
                  <c:v>2025</c:v>
                </c:pt>
                <c:pt idx="5">
                  <c:v>2026</c:v>
                </c:pt>
                <c:pt idx="6">
                  <c:v>2027</c:v>
                </c:pt>
                <c:pt idx="7">
                  <c:v>2028</c:v>
                </c:pt>
                <c:pt idx="8">
                  <c:v>2029</c:v>
                </c:pt>
                <c:pt idx="9">
                  <c:v>2030</c:v>
                </c:pt>
                <c:pt idx="10">
                  <c:v>2031</c:v>
                </c:pt>
              </c:numCache>
            </c:numRef>
          </c:cat>
          <c:val>
            <c:numRef>
              <c:f>'Figure 3'!$E$31:$O$31</c:f>
              <c:numCache>
                <c:formatCode>0.0%</c:formatCode>
                <c:ptCount val="11"/>
                <c:pt idx="0">
                  <c:v>3.3541666666666671E-2</c:v>
                </c:pt>
                <c:pt idx="1">
                  <c:v>5.028333333333334E-2</c:v>
                </c:pt>
                <c:pt idx="2">
                  <c:v>5.8416666666666665E-2</c:v>
                </c:pt>
                <c:pt idx="3">
                  <c:v>5.7625000000000003E-2</c:v>
                </c:pt>
                <c:pt idx="4">
                  <c:v>6.0149999999999995E-2</c:v>
                </c:pt>
                <c:pt idx="5">
                  <c:v>5.8299999999999998E-2</c:v>
                </c:pt>
                <c:pt idx="6">
                  <c:v>5.8299999999999998E-2</c:v>
                </c:pt>
                <c:pt idx="7">
                  <c:v>5.8299999999999998E-2</c:v>
                </c:pt>
                <c:pt idx="8">
                  <c:v>5.7299999999999997E-2</c:v>
                </c:pt>
                <c:pt idx="9">
                  <c:v>5.7299999999999997E-2</c:v>
                </c:pt>
                <c:pt idx="10">
                  <c:v>5.7299999999999997E-2</c:v>
                </c:pt>
              </c:numCache>
            </c:numRef>
          </c:val>
          <c:smooth val="0"/>
          <c:extLst>
            <c:ext xmlns:c16="http://schemas.microsoft.com/office/drawing/2014/chart" uri="{C3380CC4-5D6E-409C-BE32-E72D297353CC}">
              <c16:uniqueId val="{00000000-1FD3-4560-AAD9-7D228E52454E}"/>
            </c:ext>
          </c:extLst>
        </c:ser>
        <c:ser>
          <c:idx val="1"/>
          <c:order val="1"/>
          <c:tx>
            <c:strRef>
              <c:f>'Figure 3'!$C$30</c:f>
              <c:strCache>
                <c:ptCount val="1"/>
                <c:pt idx="0">
                  <c:v>Aaa Corporate</c:v>
                </c:pt>
              </c:strCache>
            </c:strRef>
          </c:tx>
          <c:spPr>
            <a:ln w="25400">
              <a:solidFill>
                <a:srgbClr val="FF00FF"/>
              </a:solidFill>
              <a:prstDash val="solid"/>
            </a:ln>
          </c:spPr>
          <c:marker>
            <c:symbol val="circle"/>
            <c:size val="7"/>
            <c:spPr>
              <a:solidFill>
                <a:srgbClr val="FF00FF"/>
              </a:solidFill>
              <a:ln>
                <a:solidFill>
                  <a:srgbClr val="FF00FF"/>
                </a:solidFill>
                <a:prstDash val="solid"/>
              </a:ln>
            </c:spPr>
          </c:marker>
          <c:cat>
            <c:numRef>
              <c:f>'Figure 3'!$E$27:$O$27</c:f>
              <c:numCache>
                <c:formatCode>General</c:formatCode>
                <c:ptCount val="11"/>
                <c:pt idx="0">
                  <c:v>2021</c:v>
                </c:pt>
                <c:pt idx="1">
                  <c:v>2022</c:v>
                </c:pt>
                <c:pt idx="2">
                  <c:v>2023</c:v>
                </c:pt>
                <c:pt idx="3">
                  <c:v>2024</c:v>
                </c:pt>
                <c:pt idx="4">
                  <c:v>2025</c:v>
                </c:pt>
                <c:pt idx="5">
                  <c:v>2026</c:v>
                </c:pt>
                <c:pt idx="6">
                  <c:v>2027</c:v>
                </c:pt>
                <c:pt idx="7">
                  <c:v>2028</c:v>
                </c:pt>
                <c:pt idx="8">
                  <c:v>2029</c:v>
                </c:pt>
                <c:pt idx="9">
                  <c:v>2030</c:v>
                </c:pt>
                <c:pt idx="10">
                  <c:v>2031</c:v>
                </c:pt>
              </c:numCache>
            </c:numRef>
          </c:cat>
          <c:val>
            <c:numRef>
              <c:f>'Figure 3'!$E$30:$O$30</c:f>
              <c:numCache>
                <c:formatCode>0.0%</c:formatCode>
                <c:ptCount val="11"/>
                <c:pt idx="0">
                  <c:v>2.7024999999999997E-2</c:v>
                </c:pt>
                <c:pt idx="1">
                  <c:v>4.0725000000000004E-2</c:v>
                </c:pt>
                <c:pt idx="2">
                  <c:v>4.8108333333333329E-2</c:v>
                </c:pt>
                <c:pt idx="3">
                  <c:v>5.0441666666666683E-2</c:v>
                </c:pt>
                <c:pt idx="4">
                  <c:v>5.3849999999999995E-2</c:v>
                </c:pt>
                <c:pt idx="5">
                  <c:v>5.1999999999999998E-2</c:v>
                </c:pt>
                <c:pt idx="6">
                  <c:v>5.1999999999999998E-2</c:v>
                </c:pt>
                <c:pt idx="7">
                  <c:v>5.1999999999999998E-2</c:v>
                </c:pt>
                <c:pt idx="8">
                  <c:v>5.0999999999999997E-2</c:v>
                </c:pt>
                <c:pt idx="9">
                  <c:v>5.0999999999999997E-2</c:v>
                </c:pt>
                <c:pt idx="10">
                  <c:v>5.0999999999999997E-2</c:v>
                </c:pt>
              </c:numCache>
            </c:numRef>
          </c:val>
          <c:smooth val="0"/>
          <c:extLst>
            <c:ext xmlns:c16="http://schemas.microsoft.com/office/drawing/2014/chart" uri="{C3380CC4-5D6E-409C-BE32-E72D297353CC}">
              <c16:uniqueId val="{00000001-1FD3-4560-AAD9-7D228E52454E}"/>
            </c:ext>
          </c:extLst>
        </c:ser>
        <c:ser>
          <c:idx val="2"/>
          <c:order val="2"/>
          <c:tx>
            <c:strRef>
              <c:f>'Figure 3'!$C$29</c:f>
              <c:strCache>
                <c:ptCount val="1"/>
                <c:pt idx="0">
                  <c:v>30-Yr. Treasury</c:v>
                </c:pt>
              </c:strCache>
            </c:strRef>
          </c:tx>
          <c:spPr>
            <a:ln w="25400">
              <a:solidFill>
                <a:schemeClr val="accent6">
                  <a:lumMod val="75000"/>
                </a:schemeClr>
              </a:solidFill>
              <a:prstDash val="solid"/>
            </a:ln>
          </c:spPr>
          <c:marker>
            <c:symbol val="circle"/>
            <c:size val="7"/>
            <c:spPr>
              <a:solidFill>
                <a:schemeClr val="accent6">
                  <a:lumMod val="75000"/>
                </a:schemeClr>
              </a:solidFill>
              <a:ln>
                <a:solidFill>
                  <a:schemeClr val="accent6">
                    <a:lumMod val="75000"/>
                  </a:schemeClr>
                </a:solidFill>
                <a:prstDash val="solid"/>
              </a:ln>
            </c:spPr>
          </c:marker>
          <c:cat>
            <c:numRef>
              <c:f>'Figure 3'!$E$27:$O$27</c:f>
              <c:numCache>
                <c:formatCode>General</c:formatCode>
                <c:ptCount val="11"/>
                <c:pt idx="0">
                  <c:v>2021</c:v>
                </c:pt>
                <c:pt idx="1">
                  <c:v>2022</c:v>
                </c:pt>
                <c:pt idx="2">
                  <c:v>2023</c:v>
                </c:pt>
                <c:pt idx="3">
                  <c:v>2024</c:v>
                </c:pt>
                <c:pt idx="4">
                  <c:v>2025</c:v>
                </c:pt>
                <c:pt idx="5">
                  <c:v>2026</c:v>
                </c:pt>
                <c:pt idx="6">
                  <c:v>2027</c:v>
                </c:pt>
                <c:pt idx="7">
                  <c:v>2028</c:v>
                </c:pt>
                <c:pt idx="8">
                  <c:v>2029</c:v>
                </c:pt>
                <c:pt idx="9">
                  <c:v>2030</c:v>
                </c:pt>
                <c:pt idx="10">
                  <c:v>2031</c:v>
                </c:pt>
              </c:numCache>
            </c:numRef>
          </c:cat>
          <c:val>
            <c:numRef>
              <c:f>'Figure 3'!$E$29:$O$29</c:f>
              <c:numCache>
                <c:formatCode>0.0%</c:formatCode>
                <c:ptCount val="11"/>
                <c:pt idx="0">
                  <c:v>2.0524999999999998E-2</c:v>
                </c:pt>
                <c:pt idx="1">
                  <c:v>3.1149999999999997E-2</c:v>
                </c:pt>
                <c:pt idx="2">
                  <c:v>4.0916666666666664E-2</c:v>
                </c:pt>
                <c:pt idx="3">
                  <c:v>4.4058333333333331E-2</c:v>
                </c:pt>
                <c:pt idx="4">
                  <c:v>4.7024999999999997E-2</c:v>
                </c:pt>
                <c:pt idx="5">
                  <c:v>4.4999999999999998E-2</c:v>
                </c:pt>
                <c:pt idx="6">
                  <c:v>4.3999999999999997E-2</c:v>
                </c:pt>
                <c:pt idx="7">
                  <c:v>4.3999999999999997E-2</c:v>
                </c:pt>
                <c:pt idx="8">
                  <c:v>4.2999999999999997E-2</c:v>
                </c:pt>
                <c:pt idx="9">
                  <c:v>4.2999999999999997E-2</c:v>
                </c:pt>
                <c:pt idx="10">
                  <c:v>4.2999999999999997E-2</c:v>
                </c:pt>
              </c:numCache>
            </c:numRef>
          </c:val>
          <c:smooth val="0"/>
          <c:extLst>
            <c:ext xmlns:c16="http://schemas.microsoft.com/office/drawing/2014/chart" uri="{C3380CC4-5D6E-409C-BE32-E72D297353CC}">
              <c16:uniqueId val="{00000002-1FD3-4560-AAD9-7D228E52454E}"/>
            </c:ext>
          </c:extLst>
        </c:ser>
        <c:ser>
          <c:idx val="3"/>
          <c:order val="3"/>
          <c:tx>
            <c:strRef>
              <c:f>'Figure 3'!$C$28</c:f>
              <c:strCache>
                <c:ptCount val="1"/>
                <c:pt idx="0">
                  <c:v>10-Yr. Treasury</c:v>
                </c:pt>
              </c:strCache>
            </c:strRef>
          </c:tx>
          <c:spPr>
            <a:ln w="25400">
              <a:solidFill>
                <a:srgbClr val="C00000"/>
              </a:solidFill>
              <a:prstDash val="solid"/>
            </a:ln>
          </c:spPr>
          <c:marker>
            <c:symbol val="circle"/>
            <c:size val="7"/>
            <c:spPr>
              <a:solidFill>
                <a:srgbClr val="C00000"/>
              </a:solidFill>
              <a:ln>
                <a:solidFill>
                  <a:srgbClr val="C00000"/>
                </a:solidFill>
                <a:prstDash val="solid"/>
              </a:ln>
            </c:spPr>
          </c:marker>
          <c:cat>
            <c:numRef>
              <c:f>'Figure 3'!$E$27:$O$27</c:f>
              <c:numCache>
                <c:formatCode>General</c:formatCode>
                <c:ptCount val="11"/>
                <c:pt idx="0">
                  <c:v>2021</c:v>
                </c:pt>
                <c:pt idx="1">
                  <c:v>2022</c:v>
                </c:pt>
                <c:pt idx="2">
                  <c:v>2023</c:v>
                </c:pt>
                <c:pt idx="3">
                  <c:v>2024</c:v>
                </c:pt>
                <c:pt idx="4">
                  <c:v>2025</c:v>
                </c:pt>
                <c:pt idx="5">
                  <c:v>2026</c:v>
                </c:pt>
                <c:pt idx="6">
                  <c:v>2027</c:v>
                </c:pt>
                <c:pt idx="7">
                  <c:v>2028</c:v>
                </c:pt>
                <c:pt idx="8">
                  <c:v>2029</c:v>
                </c:pt>
                <c:pt idx="9">
                  <c:v>2030</c:v>
                </c:pt>
                <c:pt idx="10">
                  <c:v>2031</c:v>
                </c:pt>
              </c:numCache>
            </c:numRef>
          </c:cat>
          <c:val>
            <c:numRef>
              <c:f>'Figure 3'!$E$28:$O$28</c:f>
              <c:numCache>
                <c:formatCode>0.0%</c:formatCode>
                <c:ptCount val="11"/>
                <c:pt idx="0">
                  <c:v>1.4425E-2</c:v>
                </c:pt>
                <c:pt idx="1">
                  <c:v>2.9516666666666667E-2</c:v>
                </c:pt>
                <c:pt idx="2">
                  <c:v>3.9574999999999999E-2</c:v>
                </c:pt>
                <c:pt idx="3">
                  <c:v>4.2083333333333334E-2</c:v>
                </c:pt>
                <c:pt idx="4">
                  <c:v>4.3624999999999997E-2</c:v>
                </c:pt>
                <c:pt idx="5">
                  <c:v>0.04</c:v>
                </c:pt>
                <c:pt idx="6">
                  <c:v>4.1000000000000002E-2</c:v>
                </c:pt>
                <c:pt idx="7">
                  <c:v>0.04</c:v>
                </c:pt>
                <c:pt idx="8">
                  <c:v>0.04</c:v>
                </c:pt>
                <c:pt idx="9">
                  <c:v>0.04</c:v>
                </c:pt>
                <c:pt idx="10">
                  <c:v>0.04</c:v>
                </c:pt>
              </c:numCache>
            </c:numRef>
          </c:val>
          <c:smooth val="0"/>
          <c:extLst>
            <c:ext xmlns:c16="http://schemas.microsoft.com/office/drawing/2014/chart" uri="{C3380CC4-5D6E-409C-BE32-E72D297353CC}">
              <c16:uniqueId val="{00000003-1FD3-4560-AAD9-7D228E52454E}"/>
            </c:ext>
          </c:extLst>
        </c:ser>
        <c:dLbls>
          <c:showLegendKey val="0"/>
          <c:showVal val="0"/>
          <c:showCatName val="0"/>
          <c:showSerName val="0"/>
          <c:showPercent val="0"/>
          <c:showBubbleSize val="0"/>
        </c:dLbls>
        <c:marker val="1"/>
        <c:smooth val="0"/>
        <c:axId val="58260480"/>
        <c:axId val="123678720"/>
      </c:lineChart>
      <c:catAx>
        <c:axId val="582604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23678720"/>
        <c:crosses val="autoZero"/>
        <c:auto val="1"/>
        <c:lblAlgn val="ctr"/>
        <c:lblOffset val="100"/>
        <c:tickLblSkip val="1"/>
        <c:tickMarkSkip val="1"/>
        <c:noMultiLvlLbl val="0"/>
      </c:catAx>
      <c:valAx>
        <c:axId val="123678720"/>
        <c:scaling>
          <c:orientation val="minMax"/>
          <c:max val="6.7500000000000018E-2"/>
          <c:min val="1.2500000000000002E-2"/>
        </c:scaling>
        <c:delete val="0"/>
        <c:axPos val="l"/>
        <c:majorGridlines>
          <c:spPr>
            <a:ln w="3175">
              <a:solidFill>
                <a:schemeClr val="accent5">
                  <a:lumMod val="60000"/>
                  <a:lumOff val="40000"/>
                </a:schemeClr>
              </a:solidFill>
              <a:prstDash val="solid"/>
            </a:ln>
          </c:spPr>
        </c:majorGridlines>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8260480"/>
        <c:crosses val="autoZero"/>
        <c:crossBetween val="between"/>
      </c:valAx>
      <c:spPr>
        <a:noFill/>
        <a:ln w="3175">
          <a:solidFill>
            <a:srgbClr val="000000"/>
          </a:solidFill>
          <a:prstDash val="solid"/>
        </a:ln>
      </c:spPr>
    </c:plotArea>
    <c:legend>
      <c:legendPos val="b"/>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1696904035249795E-2"/>
          <c:y val="6.6279576400242665E-2"/>
          <c:w val="0.85967748956484313"/>
          <c:h val="0.69657171303670895"/>
        </c:manualLayout>
      </c:layout>
      <c:barChart>
        <c:barDir val="col"/>
        <c:grouping val="clustered"/>
        <c:varyColors val="0"/>
        <c:ser>
          <c:idx val="0"/>
          <c:order val="0"/>
          <c:tx>
            <c:strRef>
              <c:f>'Figure 5'!$C$1</c:f>
              <c:strCache>
                <c:ptCount val="1"/>
                <c:pt idx="0">
                  <c:v>Earned ROE</c:v>
                </c:pt>
              </c:strCache>
            </c:strRef>
          </c:tx>
          <c:spPr>
            <a:solidFill>
              <a:schemeClr val="tx2"/>
            </a:solidFill>
            <a:ln>
              <a:noFill/>
            </a:ln>
          </c:spPr>
          <c:invertIfNegative val="0"/>
          <c:dLbls>
            <c:spPr>
              <a:noFill/>
              <a:ln>
                <a:noFill/>
              </a:ln>
              <a:effectLst/>
            </c:spPr>
            <c:txPr>
              <a:bodyPr wrap="square" lIns="38100" tIns="19050" rIns="38100" bIns="19050" anchor="ctr">
                <a:spAutoFit/>
              </a:bodyPr>
              <a:lstStyle/>
              <a:p>
                <a:pPr>
                  <a:defRPr sz="1400" b="1">
                    <a:solidFill>
                      <a:schemeClr val="bg1"/>
                    </a:solidFil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'Figure 5'!$B$2:$B$11</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'Figure 5'!$C$2:$C$11</c:f>
              <c:numCache>
                <c:formatCode>0.00%</c:formatCode>
                <c:ptCount val="10"/>
                <c:pt idx="0">
                  <c:v>7.4899999999999994E-2</c:v>
                </c:pt>
                <c:pt idx="1">
                  <c:v>6.6699999999999995E-2</c:v>
                </c:pt>
                <c:pt idx="2">
                  <c:v>8.9300000000000004E-2</c:v>
                </c:pt>
                <c:pt idx="3">
                  <c:v>7.3700000000000002E-2</c:v>
                </c:pt>
                <c:pt idx="4">
                  <c:v>5.5E-2</c:v>
                </c:pt>
                <c:pt idx="5">
                  <c:v>6.2399999999999997E-2</c:v>
                </c:pt>
                <c:pt idx="6">
                  <c:v>5.3499999999999999E-2</c:v>
                </c:pt>
                <c:pt idx="7">
                  <c:v>3.7199999999999997E-2</c:v>
                </c:pt>
                <c:pt idx="8">
                  <c:v>4.4400000000000002E-2</c:v>
                </c:pt>
                <c:pt idx="9">
                  <c:v>4.4299999999999999E-2</c:v>
                </c:pt>
              </c:numCache>
            </c:numRef>
          </c:val>
          <c:extLst>
            <c:ext xmlns:c16="http://schemas.microsoft.com/office/drawing/2014/chart" uri="{C3380CC4-5D6E-409C-BE32-E72D297353CC}">
              <c16:uniqueId val="{00000000-64E3-4A79-83F7-A70EE0FFCDFD}"/>
            </c:ext>
          </c:extLst>
        </c:ser>
        <c:dLbls>
          <c:showLegendKey val="0"/>
          <c:showVal val="0"/>
          <c:showCatName val="0"/>
          <c:showSerName val="0"/>
          <c:showPercent val="0"/>
          <c:showBubbleSize val="0"/>
        </c:dLbls>
        <c:gapWidth val="17"/>
        <c:overlap val="-4"/>
        <c:axId val="311317488"/>
        <c:axId val="311315528"/>
      </c:barChart>
      <c:lineChart>
        <c:grouping val="standard"/>
        <c:varyColors val="0"/>
        <c:ser>
          <c:idx val="5"/>
          <c:order val="1"/>
          <c:tx>
            <c:strRef>
              <c:f>'Figure 5'!$D$1</c:f>
              <c:strCache>
                <c:ptCount val="1"/>
                <c:pt idx="0">
                  <c:v>Authorized ROE</c:v>
                </c:pt>
              </c:strCache>
            </c:strRef>
          </c:tx>
          <c:spPr>
            <a:ln w="47625" cmpd="sng">
              <a:solidFill>
                <a:schemeClr val="accent6">
                  <a:lumMod val="75000"/>
                </a:schemeClr>
              </a:solidFill>
              <a:prstDash val="solid"/>
            </a:ln>
          </c:spPr>
          <c:marker>
            <c:symbol val="none"/>
          </c:marker>
          <c:val>
            <c:numRef>
              <c:f>'Figure 5'!$D$2:$D$11</c:f>
              <c:numCache>
                <c:formatCode>0.00%</c:formatCode>
                <c:ptCount val="10"/>
                <c:pt idx="0">
                  <c:v>9.8000000000000004E-2</c:v>
                </c:pt>
                <c:pt idx="1">
                  <c:v>9.8000000000000004E-2</c:v>
                </c:pt>
                <c:pt idx="2">
                  <c:v>9.7500000000000003E-2</c:v>
                </c:pt>
                <c:pt idx="3">
                  <c:v>9.7500000000000003E-2</c:v>
                </c:pt>
                <c:pt idx="4">
                  <c:v>9.7500000000000003E-2</c:v>
                </c:pt>
                <c:pt idx="5">
                  <c:v>9.2999999999999999E-2</c:v>
                </c:pt>
                <c:pt idx="6">
                  <c:v>9.2999999999999999E-2</c:v>
                </c:pt>
                <c:pt idx="7">
                  <c:v>9.2999999999999999E-2</c:v>
                </c:pt>
                <c:pt idx="8">
                  <c:v>9.7500000000000003E-2</c:v>
                </c:pt>
                <c:pt idx="9">
                  <c:v>9.7500000000000003E-2</c:v>
                </c:pt>
              </c:numCache>
            </c:numRef>
          </c:val>
          <c:smooth val="0"/>
          <c:extLst>
            <c:ext xmlns:c16="http://schemas.microsoft.com/office/drawing/2014/chart" uri="{C3380CC4-5D6E-409C-BE32-E72D297353CC}">
              <c16:uniqueId val="{00000001-64E3-4A79-83F7-A70EE0FFCDFD}"/>
            </c:ext>
          </c:extLst>
        </c:ser>
        <c:dLbls>
          <c:showLegendKey val="0"/>
          <c:showVal val="0"/>
          <c:showCatName val="0"/>
          <c:showSerName val="0"/>
          <c:showPercent val="0"/>
          <c:showBubbleSize val="0"/>
        </c:dLbls>
        <c:marker val="1"/>
        <c:smooth val="0"/>
        <c:axId val="311317488"/>
        <c:axId val="311315528"/>
        <c:extLst/>
      </c:lineChart>
      <c:catAx>
        <c:axId val="311317488"/>
        <c:scaling>
          <c:orientation val="minMax"/>
        </c:scaling>
        <c:delete val="0"/>
        <c:axPos val="b"/>
        <c:numFmt formatCode="General" sourceLinked="1"/>
        <c:majorTickMark val="out"/>
        <c:minorTickMark val="none"/>
        <c:tickLblPos val="low"/>
        <c:txPr>
          <a:bodyPr/>
          <a:lstStyle/>
          <a:p>
            <a:pPr>
              <a:defRPr sz="1400"/>
            </a:pPr>
            <a:endParaRPr lang="en-US"/>
          </a:p>
        </c:txPr>
        <c:crossAx val="311315528"/>
        <c:crosses val="autoZero"/>
        <c:auto val="1"/>
        <c:lblAlgn val="ctr"/>
        <c:lblOffset val="100"/>
        <c:noMultiLvlLbl val="0"/>
      </c:catAx>
      <c:valAx>
        <c:axId val="311315528"/>
        <c:scaling>
          <c:orientation val="minMax"/>
          <c:max val="0.12000000000000001"/>
        </c:scaling>
        <c:delete val="0"/>
        <c:axPos val="l"/>
        <c:majorGridlines/>
        <c:numFmt formatCode="0%" sourceLinked="0"/>
        <c:majorTickMark val="out"/>
        <c:minorTickMark val="none"/>
        <c:tickLblPos val="nextTo"/>
        <c:txPr>
          <a:bodyPr/>
          <a:lstStyle/>
          <a:p>
            <a:pPr>
              <a:defRPr sz="1400"/>
            </a:pPr>
            <a:endParaRPr lang="en-US"/>
          </a:p>
        </c:txPr>
        <c:crossAx val="311317488"/>
        <c:crosses val="autoZero"/>
        <c:crossBetween val="between"/>
        <c:majorUnit val="1.0000000000000002E-2"/>
      </c:valAx>
    </c:plotArea>
    <c:legend>
      <c:legendPos val="r"/>
      <c:layout>
        <c:manualLayout>
          <c:xMode val="edge"/>
          <c:yMode val="edge"/>
          <c:x val="1.7429076695348249E-3"/>
          <c:y val="0.85950687436634932"/>
          <c:w val="0.96266566167705281"/>
          <c:h val="9.750527818522893E-2"/>
        </c:manualLayout>
      </c:layout>
      <c:overlay val="0"/>
      <c:txPr>
        <a:bodyPr/>
        <a:lstStyle/>
        <a:p>
          <a:pPr>
            <a:defRPr sz="1600"/>
          </a:pPr>
          <a:endParaRPr lang="en-US"/>
        </a:p>
      </c:txPr>
    </c:legend>
    <c:plotVisOnly val="1"/>
    <c:dispBlanksAs val="gap"/>
    <c:showDLblsOverMax val="0"/>
  </c:chart>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Times New Roman" panose="02020603050405020304" pitchFamily="18" charset="0"/>
                <a:cs typeface="Times New Roman" panose="02020603050405020304" pitchFamily="18" charset="0"/>
              </a:defRPr>
            </a:pPr>
            <a:r>
              <a:rPr lang="en-US" sz="1200" b="1">
                <a:latin typeface="Times New Roman" panose="02020603050405020304" pitchFamily="18" charset="0"/>
                <a:cs typeface="Times New Roman" panose="02020603050405020304" pitchFamily="18" charset="0"/>
              </a:rPr>
              <a:t>Authorized Equity Risk Premiums vs. Utility Interest Rates</a:t>
            </a:r>
          </a:p>
          <a:p>
            <a:pPr>
              <a:defRPr sz="1200">
                <a:latin typeface="Times New Roman" panose="02020603050405020304" pitchFamily="18" charset="0"/>
                <a:cs typeface="Times New Roman" panose="02020603050405020304" pitchFamily="18" charset="0"/>
              </a:defRPr>
            </a:pPr>
            <a:r>
              <a:rPr lang="en-US" sz="1200" b="1">
                <a:latin typeface="Times New Roman" panose="02020603050405020304" pitchFamily="18" charset="0"/>
                <a:cs typeface="Times New Roman" panose="02020603050405020304" pitchFamily="18" charset="0"/>
              </a:rPr>
              <a:t>(1974-2024)</a:t>
            </a:r>
          </a:p>
        </c:rich>
      </c:tx>
      <c:layout>
        <c:manualLayout>
          <c:xMode val="edge"/>
          <c:yMode val="edge"/>
          <c:x val="0.21466461662706363"/>
          <c:y val="2.9968285214348207E-2"/>
        </c:manualLayout>
      </c:layout>
      <c:overlay val="0"/>
      <c:spPr>
        <a:noFill/>
        <a:ln w="25400">
          <a:noFill/>
        </a:ln>
      </c:spPr>
    </c:title>
    <c:autoTitleDeleted val="0"/>
    <c:plotArea>
      <c:layout>
        <c:manualLayout>
          <c:layoutTarget val="inner"/>
          <c:xMode val="edge"/>
          <c:yMode val="edge"/>
          <c:x val="0.1238067244057149"/>
          <c:y val="0.23065248599151428"/>
          <c:w val="0.83350196351878925"/>
          <c:h val="0.61911983081932775"/>
        </c:manualLayout>
      </c:layout>
      <c:scatterChart>
        <c:scatterStyle val="lineMarker"/>
        <c:varyColors val="0"/>
        <c:ser>
          <c:idx val="0"/>
          <c:order val="0"/>
          <c:spPr>
            <a:ln w="28575">
              <a:noFill/>
            </a:ln>
          </c:spPr>
          <c:marker>
            <c:symbol val="diamond"/>
            <c:size val="5"/>
            <c:spPr>
              <a:solidFill>
                <a:srgbClr val="000080"/>
              </a:solidFill>
              <a:ln>
                <a:solidFill>
                  <a:srgbClr val="000080"/>
                </a:solidFill>
                <a:prstDash val="solid"/>
              </a:ln>
            </c:spPr>
          </c:marker>
          <c:trendline>
            <c:spPr>
              <a:ln w="25400">
                <a:solidFill>
                  <a:srgbClr val="000000"/>
                </a:solidFill>
                <a:prstDash val="solid"/>
              </a:ln>
            </c:spPr>
            <c:trendlineType val="linear"/>
            <c:dispRSqr val="0"/>
            <c:dispEq val="0"/>
          </c:trendline>
          <c:trendline>
            <c:trendlineType val="linear"/>
            <c:dispRSqr val="0"/>
            <c:dispEq val="0"/>
          </c:trendline>
          <c:trendline>
            <c:trendlineType val="linear"/>
            <c:dispRSqr val="1"/>
            <c:dispEq val="1"/>
            <c:trendlineLbl>
              <c:layout>
                <c:manualLayout>
                  <c:x val="-0.43162351761003698"/>
                  <c:y val="-3.116093127247983E-2"/>
                </c:manualLayout>
              </c:layout>
              <c:numFmt formatCode="General" sourceLinked="0"/>
              <c:txPr>
                <a:bodyPr/>
                <a:lstStyle/>
                <a:p>
                  <a:pPr>
                    <a:defRPr>
                      <a:latin typeface="Times New Roman" panose="02020603050405020304" pitchFamily="18" charset="0"/>
                      <a:cs typeface="Times New Roman" panose="02020603050405020304" pitchFamily="18" charset="0"/>
                    </a:defRPr>
                  </a:pPr>
                  <a:endParaRPr lang="en-US"/>
                </a:p>
              </c:txPr>
            </c:trendlineLbl>
          </c:trendline>
          <c:xVal>
            <c:numRef>
              <c:f>'9 (2)'!$U$42:$U$92</c:f>
              <c:numCache>
                <c:formatCode>0.00%</c:formatCode>
                <c:ptCount val="51"/>
                <c:pt idx="0">
                  <c:v>9.2700000000000005E-2</c:v>
                </c:pt>
                <c:pt idx="1">
                  <c:v>9.8799999999999999E-2</c:v>
                </c:pt>
                <c:pt idx="2">
                  <c:v>9.1700000000000004E-2</c:v>
                </c:pt>
                <c:pt idx="3">
                  <c:v>8.5800000000000001E-2</c:v>
                </c:pt>
                <c:pt idx="4">
                  <c:v>9.2200000000000004E-2</c:v>
                </c:pt>
                <c:pt idx="5">
                  <c:v>0.10390000000000001</c:v>
                </c:pt>
                <c:pt idx="6">
                  <c:v>0.13150000000000001</c:v>
                </c:pt>
                <c:pt idx="7">
                  <c:v>0.15620000000000001</c:v>
                </c:pt>
                <c:pt idx="8">
                  <c:v>0.15329999999999999</c:v>
                </c:pt>
                <c:pt idx="9">
                  <c:v>0.1331</c:v>
                </c:pt>
                <c:pt idx="10">
                  <c:v>0.14030000000000001</c:v>
                </c:pt>
                <c:pt idx="11">
                  <c:v>0.1229</c:v>
                </c:pt>
                <c:pt idx="12">
                  <c:v>9.4600000000000004E-2</c:v>
                </c:pt>
                <c:pt idx="13">
                  <c:v>9.98E-2</c:v>
                </c:pt>
                <c:pt idx="14">
                  <c:v>0.1045</c:v>
                </c:pt>
                <c:pt idx="15">
                  <c:v>9.6600000000000005E-2</c:v>
                </c:pt>
                <c:pt idx="16">
                  <c:v>9.7600000000000006E-2</c:v>
                </c:pt>
                <c:pt idx="17">
                  <c:v>9.2100000000000001E-2</c:v>
                </c:pt>
                <c:pt idx="18">
                  <c:v>8.5699999999999998E-2</c:v>
                </c:pt>
                <c:pt idx="19">
                  <c:v>7.5600000000000001E-2</c:v>
                </c:pt>
                <c:pt idx="20">
                  <c:v>8.3000000000000004E-2</c:v>
                </c:pt>
                <c:pt idx="21">
                  <c:v>7.9100000000000004E-2</c:v>
                </c:pt>
                <c:pt idx="22">
                  <c:v>7.7399999999999997E-2</c:v>
                </c:pt>
                <c:pt idx="23">
                  <c:v>7.6300000000000007E-2</c:v>
                </c:pt>
                <c:pt idx="24">
                  <c:v>7.0000000000000007E-2</c:v>
                </c:pt>
                <c:pt idx="25">
                  <c:v>7.5499999999999998E-2</c:v>
                </c:pt>
                <c:pt idx="26">
                  <c:v>8.09E-2</c:v>
                </c:pt>
                <c:pt idx="27">
                  <c:v>7.7200000000000005E-2</c:v>
                </c:pt>
                <c:pt idx="28">
                  <c:v>7.5300000000000006E-2</c:v>
                </c:pt>
                <c:pt idx="29">
                  <c:v>6.6100000000000006E-2</c:v>
                </c:pt>
                <c:pt idx="30">
                  <c:v>6.2E-2</c:v>
                </c:pt>
                <c:pt idx="31">
                  <c:v>5.67E-2</c:v>
                </c:pt>
                <c:pt idx="32">
                  <c:v>6.08E-2</c:v>
                </c:pt>
                <c:pt idx="33">
                  <c:v>6.1100000000000002E-2</c:v>
                </c:pt>
                <c:pt idx="34">
                  <c:v>6.6500000000000004E-2</c:v>
                </c:pt>
                <c:pt idx="35">
                  <c:v>6.2799999999999995E-2</c:v>
                </c:pt>
                <c:pt idx="36">
                  <c:v>5.5599999999999997E-2</c:v>
                </c:pt>
                <c:pt idx="37">
                  <c:v>5.1299999999999998E-2</c:v>
                </c:pt>
                <c:pt idx="38">
                  <c:v>4.2599999999999999E-2</c:v>
                </c:pt>
                <c:pt idx="39">
                  <c:v>4.5499999999999999E-2</c:v>
                </c:pt>
                <c:pt idx="40">
                  <c:v>4.41E-2</c:v>
                </c:pt>
                <c:pt idx="41">
                  <c:v>4.3700000000000003E-2</c:v>
                </c:pt>
                <c:pt idx="42">
                  <c:v>4.1099999999999998E-2</c:v>
                </c:pt>
                <c:pt idx="43">
                  <c:v>4.07E-2</c:v>
                </c:pt>
                <c:pt idx="44">
                  <c:v>4.3400000000000001E-2</c:v>
                </c:pt>
                <c:pt idx="45">
                  <c:v>3.8600000000000002E-2</c:v>
                </c:pt>
                <c:pt idx="46">
                  <c:v>3.0700000000000002E-2</c:v>
                </c:pt>
                <c:pt idx="47">
                  <c:v>3.1399999999999997E-2</c:v>
                </c:pt>
                <c:pt idx="48">
                  <c:v>4.7600000000000003E-2</c:v>
                </c:pt>
                <c:pt idx="49">
                  <c:v>5.6000000000000001E-2</c:v>
                </c:pt>
                <c:pt idx="50">
                  <c:v>5.57E-2</c:v>
                </c:pt>
              </c:numCache>
            </c:numRef>
          </c:xVal>
          <c:yVal>
            <c:numRef>
              <c:f>'9 (2)'!$V$42:$V$92</c:f>
              <c:numCache>
                <c:formatCode>0.00%</c:formatCode>
                <c:ptCount val="51"/>
                <c:pt idx="0">
                  <c:v>3.8300000000000001E-2</c:v>
                </c:pt>
                <c:pt idx="1">
                  <c:v>3.3200000000000007E-2</c:v>
                </c:pt>
                <c:pt idx="2">
                  <c:v>3.9300000000000002E-2</c:v>
                </c:pt>
                <c:pt idx="3">
                  <c:v>4.7200000000000006E-2</c:v>
                </c:pt>
                <c:pt idx="4">
                  <c:v>3.9800000000000002E-2</c:v>
                </c:pt>
                <c:pt idx="5">
                  <c:v>3.1100000000000003E-2</c:v>
                </c:pt>
                <c:pt idx="6">
                  <c:v>1.0800000000000004E-2</c:v>
                </c:pt>
                <c:pt idx="7">
                  <c:v>-4.0000000000000036E-3</c:v>
                </c:pt>
                <c:pt idx="8">
                  <c:v>4.500000000000004E-3</c:v>
                </c:pt>
                <c:pt idx="9">
                  <c:v>2.049999999999999E-2</c:v>
                </c:pt>
                <c:pt idx="10">
                  <c:v>1.2899999999999995E-2</c:v>
                </c:pt>
                <c:pt idx="11">
                  <c:v>2.9100000000000001E-2</c:v>
                </c:pt>
                <c:pt idx="12">
                  <c:v>4.4700000000000004E-2</c:v>
                </c:pt>
                <c:pt idx="13">
                  <c:v>3.0099999999999988E-2</c:v>
                </c:pt>
                <c:pt idx="14">
                  <c:v>2.3400000000000018E-2</c:v>
                </c:pt>
                <c:pt idx="15">
                  <c:v>3.3100000000000004E-2</c:v>
                </c:pt>
                <c:pt idx="16">
                  <c:v>2.9399999999999996E-2</c:v>
                </c:pt>
                <c:pt idx="17">
                  <c:v>3.330000000000001E-2</c:v>
                </c:pt>
                <c:pt idx="18">
                  <c:v>3.5199999999999995E-2</c:v>
                </c:pt>
                <c:pt idx="19">
                  <c:v>3.8999999999999993E-2</c:v>
                </c:pt>
                <c:pt idx="20">
                  <c:v>2.9100000000000001E-2</c:v>
                </c:pt>
                <c:pt idx="21">
                  <c:v>3.6699999999999997E-2</c:v>
                </c:pt>
                <c:pt idx="22">
                  <c:v>3.6600000000000008E-2</c:v>
                </c:pt>
                <c:pt idx="23">
                  <c:v>3.6999999999999991E-2</c:v>
                </c:pt>
                <c:pt idx="24">
                  <c:v>4.7699999999999992E-2</c:v>
                </c:pt>
                <c:pt idx="25">
                  <c:v>3.1700000000000006E-2</c:v>
                </c:pt>
                <c:pt idx="26">
                  <c:v>3.49E-2</c:v>
                </c:pt>
                <c:pt idx="27">
                  <c:v>3.3500000000000002E-2</c:v>
                </c:pt>
                <c:pt idx="28">
                  <c:v>3.6799999999999999E-2</c:v>
                </c:pt>
                <c:pt idx="29">
                  <c:v>4.3499999999999997E-2</c:v>
                </c:pt>
                <c:pt idx="30">
                  <c:v>4.6100000000000002E-2</c:v>
                </c:pt>
                <c:pt idx="31">
                  <c:v>4.8399999999999999E-2</c:v>
                </c:pt>
                <c:pt idx="32">
                  <c:v>4.2600000000000006E-2</c:v>
                </c:pt>
                <c:pt idx="33">
                  <c:v>4.2099999999999999E-2</c:v>
                </c:pt>
                <c:pt idx="34">
                  <c:v>3.7199999999999997E-2</c:v>
                </c:pt>
                <c:pt idx="35">
                  <c:v>4.2400000000000007E-2</c:v>
                </c:pt>
                <c:pt idx="36">
                  <c:v>4.7300000000000009E-2</c:v>
                </c:pt>
                <c:pt idx="37">
                  <c:v>5.0600000000000006E-2</c:v>
                </c:pt>
                <c:pt idx="38">
                  <c:v>5.7599999999999998E-2</c:v>
                </c:pt>
                <c:pt idx="39">
                  <c:v>5.2699999999999997E-2</c:v>
                </c:pt>
                <c:pt idx="40">
                  <c:v>5.3500000000000006E-2</c:v>
                </c:pt>
                <c:pt idx="41">
                  <c:v>5.2299999999999999E-2</c:v>
                </c:pt>
                <c:pt idx="42">
                  <c:v>5.4900000000000004E-2</c:v>
                </c:pt>
                <c:pt idx="43">
                  <c:v>5.6099999999999997E-2</c:v>
                </c:pt>
                <c:pt idx="44">
                  <c:v>5.2200000000000003E-2</c:v>
                </c:pt>
                <c:pt idx="45">
                  <c:v>5.79E-2</c:v>
                </c:pt>
                <c:pt idx="46">
                  <c:v>6.3199999999999992E-2</c:v>
                </c:pt>
                <c:pt idx="47">
                  <c:v>6.25E-2</c:v>
                </c:pt>
                <c:pt idx="48">
                  <c:v>4.82E-2</c:v>
                </c:pt>
                <c:pt idx="49">
                  <c:v>4.0599999999999997E-2</c:v>
                </c:pt>
                <c:pt idx="50">
                  <c:v>4.2099999999999999E-2</c:v>
                </c:pt>
              </c:numCache>
            </c:numRef>
          </c:yVal>
          <c:smooth val="0"/>
          <c:extLst>
            <c:ext xmlns:c16="http://schemas.microsoft.com/office/drawing/2014/chart" uri="{C3380CC4-5D6E-409C-BE32-E72D297353CC}">
              <c16:uniqueId val="{00000003-6C40-4082-993F-7BFE3D73CF92}"/>
            </c:ext>
          </c:extLst>
        </c:ser>
        <c:dLbls>
          <c:showLegendKey val="0"/>
          <c:showVal val="0"/>
          <c:showCatName val="0"/>
          <c:showSerName val="0"/>
          <c:showPercent val="0"/>
          <c:showBubbleSize val="0"/>
        </c:dLbls>
        <c:axId val="153037824"/>
        <c:axId val="153056384"/>
      </c:scatterChart>
      <c:valAx>
        <c:axId val="153037824"/>
        <c:scaling>
          <c:orientation val="minMax"/>
          <c:max val="0.16"/>
          <c:min val="2.5000000000000005E-2"/>
        </c:scaling>
        <c:delete val="0"/>
        <c:axPos val="b"/>
        <c:title>
          <c:tx>
            <c:rich>
              <a:bodyPr/>
              <a:lstStyle/>
              <a:p>
                <a:pPr>
                  <a:defRPr sz="1100">
                    <a:latin typeface="Times New Roman" panose="02020603050405020304" pitchFamily="18" charset="0"/>
                    <a:cs typeface="Times New Roman" panose="02020603050405020304" pitchFamily="18" charset="0"/>
                  </a:defRPr>
                </a:pPr>
                <a:r>
                  <a:rPr lang="en-US" sz="1100" b="1">
                    <a:latin typeface="Times New Roman" panose="02020603050405020304" pitchFamily="18" charset="0"/>
                    <a:cs typeface="Times New Roman" panose="02020603050405020304" pitchFamily="18" charset="0"/>
                  </a:rPr>
                  <a:t>Average Utility Interest Rates</a:t>
                </a:r>
              </a:p>
            </c:rich>
          </c:tx>
          <c:layout>
            <c:manualLayout>
              <c:xMode val="edge"/>
              <c:yMode val="edge"/>
              <c:x val="0.40923102697269226"/>
              <c:y val="0.93235947069116365"/>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panose="020B0604020202020204" pitchFamily="34" charset="0"/>
                <a:ea typeface="Palatino Linotype"/>
                <a:cs typeface="Arial" panose="020B0604020202020204" pitchFamily="34" charset="0"/>
              </a:defRPr>
            </a:pPr>
            <a:endParaRPr lang="en-US"/>
          </a:p>
        </c:txPr>
        <c:crossAx val="153056384"/>
        <c:crossesAt val="-1.0000000000000005E-2"/>
        <c:crossBetween val="midCat"/>
        <c:majorUnit val="1.0000000000000002E-2"/>
      </c:valAx>
      <c:valAx>
        <c:axId val="153056384"/>
        <c:scaling>
          <c:orientation val="minMax"/>
        </c:scaling>
        <c:delete val="0"/>
        <c:axPos val="l"/>
        <c:title>
          <c:tx>
            <c:rich>
              <a:bodyPr/>
              <a:lstStyle/>
              <a:p>
                <a:pPr>
                  <a:defRPr sz="1100" b="1">
                    <a:latin typeface="Times New Roman" panose="02020603050405020304" pitchFamily="18" charset="0"/>
                    <a:cs typeface="Times New Roman" panose="02020603050405020304" pitchFamily="18" charset="0"/>
                  </a:defRPr>
                </a:pPr>
                <a:r>
                  <a:rPr lang="en-US" sz="1100" b="1">
                    <a:latin typeface="Times New Roman" panose="02020603050405020304" pitchFamily="18" charset="0"/>
                    <a:cs typeface="Times New Roman" panose="02020603050405020304" pitchFamily="18" charset="0"/>
                  </a:rPr>
                  <a:t>Equity Risk Premiums</a:t>
                </a:r>
              </a:p>
            </c:rich>
          </c:tx>
          <c:layout>
            <c:manualLayout>
              <c:xMode val="edge"/>
              <c:yMode val="edge"/>
              <c:x val="9.4641760205506232E-3"/>
              <c:y val="0.32219816272965879"/>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aseline="0">
                <a:latin typeface="Arial" panose="020B0604020202020204" pitchFamily="34" charset="0"/>
                <a:cs typeface="Arial" panose="020B0604020202020204" pitchFamily="34" charset="0"/>
              </a:defRPr>
            </a:pPr>
            <a:endParaRPr lang="en-US"/>
          </a:p>
        </c:txPr>
        <c:crossAx val="153037824"/>
        <c:crosses val="autoZero"/>
        <c:crossBetween val="midCat"/>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Palatino Linotype" panose="02040502050505030304" pitchFamily="18" charset="0"/>
          <a:ea typeface="Arial"/>
          <a:cs typeface="Arial"/>
        </a:defRPr>
      </a:pPr>
      <a:endParaRPr lang="en-US"/>
    </a:p>
  </c:txPr>
  <c:printSettings>
    <c:headerFooter alignWithMargins="0"/>
    <c:pageMargins b="1" l="0.75000000000000044" r="0.75000000000000044" t="1" header="0.5" footer="0.5"/>
    <c:pageSetup orientation="landscape"/>
  </c:printSettings>
</c:chartSpace>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absolute">
    <xdr:from>
      <xdr:col>1</xdr:col>
      <xdr:colOff>27215</xdr:colOff>
      <xdr:row>2</xdr:row>
      <xdr:rowOff>18144</xdr:rowOff>
    </xdr:from>
    <xdr:to>
      <xdr:col>17</xdr:col>
      <xdr:colOff>200298</xdr:colOff>
      <xdr:row>45</xdr:row>
      <xdr:rowOff>54430</xdr:rowOff>
    </xdr:to>
    <xdr:graphicFrame macro="">
      <xdr:nvGraphicFramePr>
        <xdr:cNvPr id="2" name="Chart 1">
          <a:extLst>
            <a:ext uri="{FF2B5EF4-FFF2-40B4-BE49-F238E27FC236}">
              <a16:creationId xmlns:a16="http://schemas.microsoft.com/office/drawing/2014/main" id="{D63E6104-0FEF-45EA-90C6-388E5356B9CD}"/>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69850</xdr:colOff>
          <xdr:row>0</xdr:row>
          <xdr:rowOff>38100</xdr:rowOff>
        </xdr:from>
        <xdr:to>
          <xdr:col>2</xdr:col>
          <xdr:colOff>107950</xdr:colOff>
          <xdr:row>0</xdr:row>
          <xdr:rowOff>374650</xdr:rowOff>
        </xdr:to>
        <xdr:sp macro="" textlink="">
          <xdr:nvSpPr>
            <xdr:cNvPr id="14339" name="Button 3" hidden="1">
              <a:extLst>
                <a:ext uri="{63B3BB69-23CF-44E3-9099-C40C66FF867C}">
                  <a14:compatExt spid="_x0000_s14339"/>
                </a:ext>
                <a:ext uri="{FF2B5EF4-FFF2-40B4-BE49-F238E27FC236}">
                  <a16:creationId xmlns:a16="http://schemas.microsoft.com/office/drawing/2014/main" id="{00000000-0008-0000-0C00-00000338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0" i="0" u="none" strike="noStrike" baseline="0">
                  <a:solidFill>
                    <a:srgbClr val="000000"/>
                  </a:solidFill>
                  <a:latin typeface="Arial"/>
                  <a:cs typeface="Arial"/>
                </a:rPr>
                <a:t>Refresh</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0</xdr:col>
      <xdr:colOff>632460</xdr:colOff>
      <xdr:row>5</xdr:row>
      <xdr:rowOff>87630</xdr:rowOff>
    </xdr:from>
    <xdr:to>
      <xdr:col>8</xdr:col>
      <xdr:colOff>133350</xdr:colOff>
      <xdr:row>23</xdr:row>
      <xdr:rowOff>177800</xdr:rowOff>
    </xdr:to>
    <xdr:graphicFrame macro="">
      <xdr:nvGraphicFramePr>
        <xdr:cNvPr id="9" name="Chart 8">
          <a:extLst>
            <a:ext uri="{FF2B5EF4-FFF2-40B4-BE49-F238E27FC236}">
              <a16:creationId xmlns:a16="http://schemas.microsoft.com/office/drawing/2014/main" id="{00000000-0008-0000-1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0.13307</cdr:x>
      <cdr:y>0.8949</cdr:y>
    </cdr:from>
    <cdr:to>
      <cdr:x>0.89323</cdr:x>
      <cdr:y>0.99582</cdr:y>
    </cdr:to>
    <cdr:sp macro="" textlink="">
      <cdr:nvSpPr>
        <cdr:cNvPr id="2" name="TextBox 1"/>
        <cdr:cNvSpPr txBox="1"/>
      </cdr:nvSpPr>
      <cdr:spPr>
        <a:xfrm xmlns:a="http://schemas.openxmlformats.org/drawingml/2006/main">
          <a:off x="1272562" y="6423659"/>
          <a:ext cx="7269486" cy="72437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000" i="0" u="none">
              <a:latin typeface="Times New Roman" panose="02020603050405020304" pitchFamily="18" charset="0"/>
              <a:cs typeface="Times New Roman" panose="02020603050405020304" pitchFamily="18" charset="0"/>
            </a:rPr>
            <a:t>Source</a:t>
          </a:r>
          <a:r>
            <a:rPr lang="en-US" sz="1000" u="none">
              <a:latin typeface="Times New Roman" panose="02020603050405020304" pitchFamily="18" charset="0"/>
              <a:cs typeface="Times New Roman" panose="02020603050405020304" pitchFamily="18" charset="0"/>
            </a:rPr>
            <a:t>: </a:t>
          </a:r>
          <a:r>
            <a:rPr lang="en-US" sz="1000">
              <a:latin typeface="Times New Roman" panose="02020603050405020304" pitchFamily="18" charset="0"/>
              <a:cs typeface="Times New Roman" panose="02020603050405020304" pitchFamily="18" charset="0"/>
            </a:rPr>
            <a:t>S&amp;P Global Market Intelligence, Regulatory</a:t>
          </a:r>
          <a:r>
            <a:rPr lang="en-US" sz="1000" baseline="0">
              <a:latin typeface="Times New Roman" panose="02020603050405020304" pitchFamily="18" charset="0"/>
              <a:cs typeface="Times New Roman" panose="02020603050405020304" pitchFamily="18" charset="0"/>
            </a:rPr>
            <a:t> Research Associates, </a:t>
          </a:r>
          <a:r>
            <a:rPr lang="en-US" sz="1000" i="1" baseline="0">
              <a:latin typeface="Times New Roman" panose="02020603050405020304" pitchFamily="18" charset="0"/>
              <a:cs typeface="Times New Roman" panose="02020603050405020304" pitchFamily="18" charset="0"/>
            </a:rPr>
            <a:t>Major energy rate case decision in the US</a:t>
          </a:r>
          <a:r>
            <a:rPr lang="en-US" sz="1000" i="0" baseline="0">
              <a:latin typeface="Times New Roman" panose="02020603050405020304" pitchFamily="18" charset="0"/>
              <a:cs typeface="Times New Roman" panose="02020603050405020304" pitchFamily="18" charset="0"/>
            </a:rPr>
            <a:t>, Regulatory Focus</a:t>
          </a:r>
        </a:p>
        <a:p xmlns:a="http://schemas.openxmlformats.org/drawingml/2006/main">
          <a:r>
            <a:rPr lang="en-US" sz="1000" i="0" baseline="0">
              <a:latin typeface="Times New Roman" panose="02020603050405020304" pitchFamily="18" charset="0"/>
              <a:cs typeface="Times New Roman" panose="02020603050405020304" pitchFamily="18" charset="0"/>
            </a:rPr>
            <a:t> (Apr. 25 &amp; Feb. 4, 2025)</a:t>
          </a:r>
          <a:r>
            <a:rPr lang="en-US" sz="1000" baseline="0">
              <a:latin typeface="Times New Roman" panose="02020603050405020304" pitchFamily="18" charset="0"/>
              <a:cs typeface="Times New Roman" panose="02020603050405020304" pitchFamily="18" charset="0"/>
            </a:rPr>
            <a:t>.  </a:t>
          </a:r>
          <a:r>
            <a:rPr lang="en-US" sz="1100" baseline="0">
              <a:effectLst/>
              <a:latin typeface="Times New Roman" panose="02020603050405020304" pitchFamily="18" charset="0"/>
              <a:ea typeface="+mn-ea"/>
              <a:cs typeface="Times New Roman" panose="02020603050405020304" pitchFamily="18" charset="0"/>
            </a:rPr>
            <a:t>Excludes decisions where a data element was not disclosed or where capital structure contained cost-free</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100" baseline="0">
              <a:effectLst/>
              <a:latin typeface="Times New Roman" panose="02020603050405020304" pitchFamily="18" charset="0"/>
              <a:ea typeface="+mn-ea"/>
              <a:cs typeface="Times New Roman" panose="02020603050405020304" pitchFamily="18" charset="0"/>
            </a:rPr>
            <a:t> items or tax credit balances.  Removes cases involving Limited Issue Riders.</a:t>
          </a:r>
          <a:endParaRPr lang="en-US" sz="1000">
            <a:effectLst/>
            <a:latin typeface="Times New Roman" panose="02020603050405020304" pitchFamily="18" charset="0"/>
            <a:cs typeface="Times New Roman" panose="02020603050405020304" pitchFamily="18" charset="0"/>
          </a:endParaRPr>
        </a:p>
        <a:p xmlns:a="http://schemas.openxmlformats.org/drawingml/2006/main">
          <a:endParaRPr lang="en-US" sz="1000">
            <a:effectLst/>
            <a:latin typeface="Times New Roman" panose="02020603050405020304" pitchFamily="18" charset="0"/>
            <a:cs typeface="Times New Roman" panose="02020603050405020304" pitchFamily="18" charset="0"/>
          </a:endParaRPr>
        </a:p>
        <a:p xmlns:a="http://schemas.openxmlformats.org/drawingml/2006/main">
          <a:r>
            <a:rPr lang="en-US" sz="1000" baseline="0">
              <a:latin typeface="Times New Roman" panose="02020603050405020304" pitchFamily="18" charset="0"/>
              <a:cs typeface="Times New Roman" panose="02020603050405020304" pitchFamily="18" charset="0"/>
            </a:rPr>
            <a:t> </a:t>
          </a:r>
          <a:endParaRPr lang="en-US" sz="10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cdr:x>
      <cdr:y>0</cdr:y>
    </cdr:from>
    <cdr:to>
      <cdr:x>0.00281</cdr:x>
      <cdr:y>0.00387</cdr:y>
    </cdr:to>
    <cdr:pic>
      <cdr:nvPicPr>
        <cdr:cNvPr id="3" name="chart">
          <a:extLst xmlns:a="http://schemas.openxmlformats.org/drawingml/2006/main">
            <a:ext uri="{FF2B5EF4-FFF2-40B4-BE49-F238E27FC236}">
              <a16:creationId xmlns:a16="http://schemas.microsoft.com/office/drawing/2014/main" id="{DA0AAC70-54B8-ACF6-89D7-45D3F03CD41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0.00281</cdr:x>
      <cdr:y>0.00387</cdr:y>
    </cdr:to>
    <cdr:pic>
      <cdr:nvPicPr>
        <cdr:cNvPr id="4" name="chart">
          <a:extLst xmlns:a="http://schemas.openxmlformats.org/drawingml/2006/main">
            <a:ext uri="{FF2B5EF4-FFF2-40B4-BE49-F238E27FC236}">
              <a16:creationId xmlns:a16="http://schemas.microsoft.com/office/drawing/2014/main" id="{EE4D2941-4177-B7F7-89B6-2C198CA07B2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0.23127</cdr:x>
      <cdr:y>0.1382</cdr:y>
    </cdr:from>
    <cdr:to>
      <cdr:x>0.31454</cdr:x>
      <cdr:y>0.22673</cdr:y>
    </cdr:to>
    <cdr:sp macro="" textlink="">
      <cdr:nvSpPr>
        <cdr:cNvPr id="5" name="TextBox 1"/>
        <cdr:cNvSpPr txBox="1"/>
      </cdr:nvSpPr>
      <cdr:spPr>
        <a:xfrm xmlns:a="http://schemas.openxmlformats.org/drawingml/2006/main">
          <a:off x="2205141" y="966602"/>
          <a:ext cx="793963" cy="619185"/>
        </a:xfrm>
        <a:prstGeom xmlns:a="http://schemas.openxmlformats.org/drawingml/2006/main" prst="rect">
          <a:avLst/>
        </a:prstGeom>
        <a:solidFill xmlns:a="http://schemas.openxmlformats.org/drawingml/2006/main">
          <a:srgbClr val="FFFFCC"/>
        </a:solidFill>
        <a:ln xmlns:a="http://schemas.openxmlformats.org/drawingml/2006/main">
          <a:solidFill>
            <a:sysClr val="windowText" lastClr="000000"/>
          </a:solidFill>
        </a:l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r>
            <a:rPr lang="en-US" sz="1100">
              <a:latin typeface="Tahoma" panose="020B0604030504040204" pitchFamily="34" charset="0"/>
              <a:ea typeface="Tahoma" panose="020B0604030504040204" pitchFamily="34" charset="0"/>
              <a:cs typeface="Tahoma" panose="020B0604030504040204" pitchFamily="34" charset="0"/>
            </a:rPr>
            <a:t>KPCo</a:t>
          </a:r>
        </a:p>
        <a:p xmlns:a="http://schemas.openxmlformats.org/drawingml/2006/main">
          <a:pPr algn="ctr"/>
          <a:r>
            <a:rPr lang="en-US" sz="1100">
              <a:latin typeface="Tahoma" panose="020B0604030504040204" pitchFamily="34" charset="0"/>
              <a:ea typeface="Tahoma" panose="020B0604030504040204" pitchFamily="34" charset="0"/>
              <a:cs typeface="Tahoma" panose="020B0604030504040204" pitchFamily="34" charset="0"/>
            </a:rPr>
            <a:t>Current</a:t>
          </a:r>
        </a:p>
        <a:p xmlns:a="http://schemas.openxmlformats.org/drawingml/2006/main">
          <a:pPr algn="ctr"/>
          <a:r>
            <a:rPr lang="en-US" sz="1100" baseline="0">
              <a:latin typeface="Tahoma" panose="020B0604030504040204" pitchFamily="34" charset="0"/>
              <a:ea typeface="Tahoma" panose="020B0604030504040204" pitchFamily="34" charset="0"/>
              <a:cs typeface="Tahoma" panose="020B0604030504040204" pitchFamily="34" charset="0"/>
            </a:rPr>
            <a:t> 4.02%</a:t>
          </a:r>
          <a:endParaRPr lang="en-US" sz="1100">
            <a:latin typeface="Tahoma" panose="020B0604030504040204" pitchFamily="34" charset="0"/>
            <a:ea typeface="Tahoma" panose="020B0604030504040204" pitchFamily="34" charset="0"/>
            <a:cs typeface="Tahoma" panose="020B0604030504040204" pitchFamily="34" charset="0"/>
          </a:endParaRPr>
        </a:p>
      </cdr:txBody>
    </cdr:sp>
  </cdr:relSizeAnchor>
  <cdr:relSizeAnchor xmlns:cdr="http://schemas.openxmlformats.org/drawingml/2006/chartDrawing">
    <cdr:from>
      <cdr:x>0.24287</cdr:x>
      <cdr:y>0.23865</cdr:y>
    </cdr:from>
    <cdr:to>
      <cdr:x>0.25593</cdr:x>
      <cdr:y>0.2828</cdr:y>
    </cdr:to>
    <cdr:sp macro="" textlink="">
      <cdr:nvSpPr>
        <cdr:cNvPr id="6" name="Down Arrow 5"/>
        <cdr:cNvSpPr/>
      </cdr:nvSpPr>
      <cdr:spPr>
        <a:xfrm xmlns:a="http://schemas.openxmlformats.org/drawingml/2006/main" rot="1919360">
          <a:off x="2315753" y="1669143"/>
          <a:ext cx="124459" cy="308760"/>
        </a:xfrm>
        <a:prstGeom xmlns:a="http://schemas.openxmlformats.org/drawingml/2006/main" prst="downArrow">
          <a:avLst/>
        </a:prstGeom>
        <a:solidFill xmlns:a="http://schemas.openxmlformats.org/drawingml/2006/main">
          <a:sysClr val="window" lastClr="FFFFFF">
            <a:lumMod val="95000"/>
          </a:sysClr>
        </a:solidFill>
        <a:ln xmlns:a="http://schemas.openxmlformats.org/drawingml/2006/main" w="6350" cap="flat" cmpd="sng" algn="ctr">
          <a:solidFill>
            <a:sysClr val="windowText" lastClr="000000"/>
          </a:solidFill>
          <a:prstDash val="solid"/>
        </a:ln>
        <a:effectLst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endParaRPr lang="en-US"/>
        </a:p>
      </cdr:txBody>
    </cdr:sp>
  </cdr:relSizeAnchor>
  <cdr:relSizeAnchor xmlns:cdr="http://schemas.openxmlformats.org/drawingml/2006/chartDrawing">
    <cdr:from>
      <cdr:x>0.33642</cdr:x>
      <cdr:y>0.13827</cdr:y>
    </cdr:from>
    <cdr:to>
      <cdr:x>0.42813</cdr:x>
      <cdr:y>0.2268</cdr:y>
    </cdr:to>
    <cdr:sp macro="" textlink="">
      <cdr:nvSpPr>
        <cdr:cNvPr id="7" name="TextBox 1">
          <a:extLst xmlns:a="http://schemas.openxmlformats.org/drawingml/2006/main">
            <a:ext uri="{FF2B5EF4-FFF2-40B4-BE49-F238E27FC236}">
              <a16:creationId xmlns:a16="http://schemas.microsoft.com/office/drawing/2014/main" id="{19064BFF-B807-E881-58C0-433E17451997}"/>
            </a:ext>
          </a:extLst>
        </cdr:cNvPr>
        <cdr:cNvSpPr txBox="1"/>
      </cdr:nvSpPr>
      <cdr:spPr>
        <a:xfrm xmlns:a="http://schemas.openxmlformats.org/drawingml/2006/main">
          <a:off x="3207696" y="967043"/>
          <a:ext cx="874436" cy="619185"/>
        </a:xfrm>
        <a:prstGeom xmlns:a="http://schemas.openxmlformats.org/drawingml/2006/main" prst="rect">
          <a:avLst/>
        </a:prstGeom>
        <a:solidFill xmlns:a="http://schemas.openxmlformats.org/drawingml/2006/main">
          <a:srgbClr val="FFFFCC"/>
        </a:solidFill>
        <a:ln xmlns:a="http://schemas.openxmlformats.org/drawingml/2006/main">
          <a:solidFill>
            <a:sysClr val="windowText" lastClr="000000"/>
          </a:solidFill>
        </a:ln>
      </cdr:spPr>
      <cdr:txBody>
        <a:bodyPr xmlns:a="http://schemas.openxmlformats.org/drawingml/2006/main" wrap="square" rtlCol="0"/>
        <a:lstStyle xmlns:a="http://schemas.openxmlformats.org/drawingml/2006/main">
          <a:lvl1pPr marL="0" indent="0">
            <a:defRPr sz="1100">
              <a:latin typeface="Calibri"/>
              <a:ea typeface="+mn-ea"/>
              <a:cs typeface="+mn-cs"/>
            </a:defRPr>
          </a:lvl1pPr>
          <a:lvl2pPr marL="457200" indent="0">
            <a:defRPr sz="1100">
              <a:latin typeface="Calibri"/>
              <a:ea typeface="+mn-ea"/>
              <a:cs typeface="+mn-cs"/>
            </a:defRPr>
          </a:lvl2pPr>
          <a:lvl3pPr marL="914400" indent="0">
            <a:defRPr sz="1100">
              <a:latin typeface="Calibri"/>
              <a:ea typeface="+mn-ea"/>
              <a:cs typeface="+mn-cs"/>
            </a:defRPr>
          </a:lvl3pPr>
          <a:lvl4pPr marL="1371600" indent="0">
            <a:defRPr sz="1100">
              <a:latin typeface="Calibri"/>
              <a:ea typeface="+mn-ea"/>
              <a:cs typeface="+mn-cs"/>
            </a:defRPr>
          </a:lvl4pPr>
          <a:lvl5pPr marL="1828800" indent="0">
            <a:defRPr sz="1100">
              <a:latin typeface="Calibri"/>
              <a:ea typeface="+mn-ea"/>
              <a:cs typeface="+mn-cs"/>
            </a:defRPr>
          </a:lvl5pPr>
          <a:lvl6pPr marL="2286000" indent="0">
            <a:defRPr sz="1100">
              <a:latin typeface="Calibri"/>
              <a:ea typeface="+mn-ea"/>
              <a:cs typeface="+mn-cs"/>
            </a:defRPr>
          </a:lvl6pPr>
          <a:lvl7pPr marL="2743200" indent="0">
            <a:defRPr sz="1100">
              <a:latin typeface="Calibri"/>
              <a:ea typeface="+mn-ea"/>
              <a:cs typeface="+mn-cs"/>
            </a:defRPr>
          </a:lvl7pPr>
          <a:lvl8pPr marL="3200400" indent="0">
            <a:defRPr sz="1100">
              <a:latin typeface="Calibri"/>
              <a:ea typeface="+mn-ea"/>
              <a:cs typeface="+mn-cs"/>
            </a:defRPr>
          </a:lvl8pPr>
          <a:lvl9pPr marL="3657600" indent="0">
            <a:defRPr sz="1100">
              <a:latin typeface="Calibri"/>
              <a:ea typeface="+mn-ea"/>
              <a:cs typeface="+mn-cs"/>
            </a:defRPr>
          </a:lvl9pPr>
        </a:lstStyle>
        <a:p xmlns:a="http://schemas.openxmlformats.org/drawingml/2006/main">
          <a:pPr algn="ctr"/>
          <a:r>
            <a:rPr lang="en-US" sz="1100">
              <a:latin typeface="Tahoma" panose="020B0604030504040204" pitchFamily="34" charset="0"/>
              <a:ea typeface="Tahoma" panose="020B0604030504040204" pitchFamily="34" charset="0"/>
              <a:cs typeface="Tahoma" panose="020B0604030504040204" pitchFamily="34" charset="0"/>
            </a:rPr>
            <a:t>KPCo</a:t>
          </a:r>
        </a:p>
        <a:p xmlns:a="http://schemas.openxmlformats.org/drawingml/2006/main">
          <a:pPr algn="ctr"/>
          <a:r>
            <a:rPr lang="en-US" sz="1100">
              <a:latin typeface="Tahoma" panose="020B0604030504040204" pitchFamily="34" charset="0"/>
              <a:ea typeface="Tahoma" panose="020B0604030504040204" pitchFamily="34" charset="0"/>
              <a:cs typeface="Tahoma" panose="020B0604030504040204" pitchFamily="34" charset="0"/>
            </a:rPr>
            <a:t>Requested</a:t>
          </a:r>
          <a:r>
            <a:rPr lang="en-US" sz="1100" baseline="0">
              <a:latin typeface="Tahoma" panose="020B0604030504040204" pitchFamily="34" charset="0"/>
              <a:ea typeface="Tahoma" panose="020B0604030504040204" pitchFamily="34" charset="0"/>
              <a:cs typeface="Tahoma" panose="020B0604030504040204" pitchFamily="34" charset="0"/>
            </a:rPr>
            <a:t> 4.61%</a:t>
          </a:r>
          <a:endParaRPr lang="en-US" sz="1100">
            <a:latin typeface="Tahoma" panose="020B0604030504040204" pitchFamily="34" charset="0"/>
            <a:ea typeface="Tahoma" panose="020B0604030504040204" pitchFamily="34" charset="0"/>
            <a:cs typeface="Tahoma" panose="020B0604030504040204" pitchFamily="34" charset="0"/>
          </a:endParaRPr>
        </a:p>
      </cdr:txBody>
    </cdr:sp>
  </cdr:relSizeAnchor>
  <cdr:relSizeAnchor xmlns:cdr="http://schemas.openxmlformats.org/drawingml/2006/chartDrawing">
    <cdr:from>
      <cdr:x>0.37161</cdr:x>
      <cdr:y>0.22957</cdr:y>
    </cdr:from>
    <cdr:to>
      <cdr:x>0.38246</cdr:x>
      <cdr:y>0.25292</cdr:y>
    </cdr:to>
    <cdr:sp macro="" textlink="">
      <cdr:nvSpPr>
        <cdr:cNvPr id="8" name="Down Arrow 5">
          <a:extLst xmlns:a="http://schemas.openxmlformats.org/drawingml/2006/main">
            <a:ext uri="{FF2B5EF4-FFF2-40B4-BE49-F238E27FC236}">
              <a16:creationId xmlns:a16="http://schemas.microsoft.com/office/drawing/2014/main" id="{7AA8C4F1-EB8A-4418-CD8A-7D161F5568BE}"/>
            </a:ext>
          </a:extLst>
        </cdr:cNvPr>
        <cdr:cNvSpPr/>
      </cdr:nvSpPr>
      <cdr:spPr>
        <a:xfrm xmlns:a="http://schemas.openxmlformats.org/drawingml/2006/main">
          <a:off x="3543254" y="1605644"/>
          <a:ext cx="103453" cy="163312"/>
        </a:xfrm>
        <a:prstGeom xmlns:a="http://schemas.openxmlformats.org/drawingml/2006/main" prst="downArrow">
          <a:avLst/>
        </a:prstGeom>
        <a:solidFill xmlns:a="http://schemas.openxmlformats.org/drawingml/2006/main">
          <a:sysClr val="window" lastClr="FFFFFF">
            <a:lumMod val="95000"/>
          </a:sysClr>
        </a:solidFill>
        <a:ln xmlns:a="http://schemas.openxmlformats.org/drawingml/2006/main" w="6350" cap="flat" cmpd="sng" algn="ctr">
          <a:solidFill>
            <a:sysClr val="windowText" lastClr="000000"/>
          </a:solidFill>
          <a:prstDash val="solid"/>
        </a:ln>
        <a:effectLst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1</xdr:col>
      <xdr:colOff>57150</xdr:colOff>
      <xdr:row>1</xdr:row>
      <xdr:rowOff>28575</xdr:rowOff>
    </xdr:from>
    <xdr:to>
      <xdr:col>3</xdr:col>
      <xdr:colOff>838199</xdr:colOff>
      <xdr:row>2</xdr:row>
      <xdr:rowOff>272</xdr:rowOff>
    </xdr:to>
    <xdr:pic>
      <xdr:nvPicPr>
        <xdr:cNvPr id="2" name="Picture 1" descr="C:\Users\jameswm\Documents\Templates\spg_mrkt_hz_4cp_PNG_White_BG.png">
          <a:extLst>
            <a:ext uri="{FF2B5EF4-FFF2-40B4-BE49-F238E27FC236}">
              <a16:creationId xmlns:a16="http://schemas.microsoft.com/office/drawing/2014/main" id="{3498DFF1-438A-4B41-B878-47E4D5011F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9250" y="168275"/>
          <a:ext cx="1530349" cy="4161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133350</xdr:colOff>
      <xdr:row>3</xdr:row>
      <xdr:rowOff>91439</xdr:rowOff>
    </xdr:from>
    <xdr:to>
      <xdr:col>11</xdr:col>
      <xdr:colOff>438150</xdr:colOff>
      <xdr:row>20</xdr:row>
      <xdr:rowOff>114299</xdr:rowOff>
    </xdr:to>
    <xdr:graphicFrame macro="">
      <xdr:nvGraphicFramePr>
        <xdr:cNvPr id="2" name="Chart 9">
          <a:extLst>
            <a:ext uri="{FF2B5EF4-FFF2-40B4-BE49-F238E27FC236}">
              <a16:creationId xmlns:a16="http://schemas.microsoft.com/office/drawing/2014/main" id="{59EF4820-EE0A-4331-AC1D-EDBA5D2BCC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7055</xdr:colOff>
      <xdr:row>16</xdr:row>
      <xdr:rowOff>56445</xdr:rowOff>
    </xdr:from>
    <xdr:to>
      <xdr:col>11</xdr:col>
      <xdr:colOff>358118</xdr:colOff>
      <xdr:row>39</xdr:row>
      <xdr:rowOff>119945</xdr:rowOff>
    </xdr:to>
    <xdr:graphicFrame macro="">
      <xdr:nvGraphicFramePr>
        <xdr:cNvPr id="2" name="Chart 1">
          <a:extLst>
            <a:ext uri="{FF2B5EF4-FFF2-40B4-BE49-F238E27FC236}">
              <a16:creationId xmlns:a16="http://schemas.microsoft.com/office/drawing/2014/main" id="{1D98809B-AAEB-4C20-B800-85F8D01BFB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0.06492</cdr:x>
      <cdr:y>1.37881E-7</cdr:y>
    </cdr:from>
    <cdr:to>
      <cdr:x>0.9511</cdr:x>
      <cdr:y>0.23494</cdr:y>
    </cdr:to>
    <cdr:sp macro="" textlink="">
      <cdr:nvSpPr>
        <cdr:cNvPr id="2" name="TextBox 1"/>
        <cdr:cNvSpPr txBox="1"/>
      </cdr:nvSpPr>
      <cdr:spPr>
        <a:xfrm xmlns:a="http://schemas.openxmlformats.org/drawingml/2006/main">
          <a:off x="797983" y="1"/>
          <a:ext cx="10892735" cy="170391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endParaRPr lang="en-US" sz="1400" b="1"/>
        </a:p>
      </cdr:txBody>
    </cdr:sp>
  </cdr:relSizeAnchor>
  <cdr:relSizeAnchor xmlns:cdr="http://schemas.openxmlformats.org/drawingml/2006/chartDrawing">
    <cdr:from>
      <cdr:x>0.00417</cdr:x>
      <cdr:y>0.90476</cdr:y>
    </cdr:from>
    <cdr:to>
      <cdr:x>0.99592</cdr:x>
      <cdr:y>0.99985</cdr:y>
    </cdr:to>
    <cdr:sp macro="" textlink="">
      <cdr:nvSpPr>
        <cdr:cNvPr id="3" name="TextBox 1"/>
        <cdr:cNvSpPr txBox="1"/>
      </cdr:nvSpPr>
      <cdr:spPr>
        <a:xfrm xmlns:a="http://schemas.openxmlformats.org/drawingml/2006/main">
          <a:off x="34311" y="4550216"/>
          <a:ext cx="8161725" cy="478223"/>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cdr:txBody>
    </cdr:sp>
  </cdr:relSizeAnchor>
</c:userShapes>
</file>

<file path=xl/drawings/drawing7.xml><?xml version="1.0" encoding="utf-8"?>
<xdr:wsDr xmlns:xdr="http://schemas.openxmlformats.org/drawingml/2006/spreadsheetDrawing" xmlns:a="http://schemas.openxmlformats.org/drawingml/2006/main">
  <xdr:twoCellAnchor editAs="oneCell">
    <xdr:from>
      <xdr:col>1</xdr:col>
      <xdr:colOff>57150</xdr:colOff>
      <xdr:row>1</xdr:row>
      <xdr:rowOff>28575</xdr:rowOff>
    </xdr:from>
    <xdr:to>
      <xdr:col>3</xdr:col>
      <xdr:colOff>838199</xdr:colOff>
      <xdr:row>2</xdr:row>
      <xdr:rowOff>272</xdr:rowOff>
    </xdr:to>
    <xdr:pic>
      <xdr:nvPicPr>
        <xdr:cNvPr id="2" name="Picture 1" descr="C:\Users\jameswm\Documents\Templates\spg_mrkt_hz_4cp_PNG_White_BG.png">
          <a:extLst>
            <a:ext uri="{FF2B5EF4-FFF2-40B4-BE49-F238E27FC236}">
              <a16:creationId xmlns:a16="http://schemas.microsoft.com/office/drawing/2014/main" id="{DC63D61F-22CE-4D73-A373-6DB9D378304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9250" y="168275"/>
          <a:ext cx="1530349" cy="4161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57150</xdr:colOff>
      <xdr:row>1</xdr:row>
      <xdr:rowOff>28575</xdr:rowOff>
    </xdr:from>
    <xdr:to>
      <xdr:col>3</xdr:col>
      <xdr:colOff>838199</xdr:colOff>
      <xdr:row>2</xdr:row>
      <xdr:rowOff>272</xdr:rowOff>
    </xdr:to>
    <xdr:pic>
      <xdr:nvPicPr>
        <xdr:cNvPr id="2" name="Picture 1" descr="C:\Users\jameswm\Documents\Templates\spg_mrkt_hz_4cp_PNG_White_BG.png">
          <a:extLst>
            <a:ext uri="{FF2B5EF4-FFF2-40B4-BE49-F238E27FC236}">
              <a16:creationId xmlns:a16="http://schemas.microsoft.com/office/drawing/2014/main" id="{DBF04E07-871A-4BC2-B157-8E8122E430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9250" y="168275"/>
          <a:ext cx="1530349" cy="4161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57150</xdr:colOff>
      <xdr:row>1</xdr:row>
      <xdr:rowOff>28575</xdr:rowOff>
    </xdr:from>
    <xdr:to>
      <xdr:col>3</xdr:col>
      <xdr:colOff>838199</xdr:colOff>
      <xdr:row>2</xdr:row>
      <xdr:rowOff>272</xdr:rowOff>
    </xdr:to>
    <xdr:pic>
      <xdr:nvPicPr>
        <xdr:cNvPr id="2" name="Picture 1" descr="C:\Users\jameswm\Documents\Templates\spg_mrkt_hz_4cp_PNG_White_BG.png">
          <a:extLst>
            <a:ext uri="{FF2B5EF4-FFF2-40B4-BE49-F238E27FC236}">
              <a16:creationId xmlns:a16="http://schemas.microsoft.com/office/drawing/2014/main" id="{B18C9F0E-5234-4716-B335-BF6F9BC7A3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3700" y="168275"/>
          <a:ext cx="1625599" cy="4161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MMFI\OneDrive\Documents\FINCAP\Template\Adjustment%20Mechanisms\2025\2025%20Electric%20Regulatory%20Mechs%20Master.xlsm" TargetMode="External"/><Relationship Id="rId1" Type="http://schemas.openxmlformats.org/officeDocument/2006/relationships/externalLinkPath" Target="https://aepenergy.sharepoint.com/Users/AMMFI/OneDrive/Documents/FINCAP/Template/Adjustment%20Mechanisms/2025/2025%20Electric%20Regulatory%20Mechs%20Master.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johnn\Downloads\McKenzie%20AEP%20Ohio%20Analyses.xlsm" TargetMode="External"/><Relationship Id="rId1" Type="http://schemas.openxmlformats.org/officeDocument/2006/relationships/externalLinkPath" Target="https://aepenergy.sharepoint.com/sites/RegulatoryServices/OPCO/Kentucky%20Power/Regulatory%20Base%20Cases/Kentucky%20Base%20Case%202025/05%20Discovery/Staff/Staff%20Set%201/Attachments/1-55/McKenzie/McKenzie%20AEP%20Ohio%20Analys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lectric (1)"/>
      <sheetName val="Electric (2-5)"/>
      <sheetName val="Electric (6)"/>
    </sheetNames>
    <sheetDataSet>
      <sheetData sheetId="0" refreshError="1"/>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 1"/>
      <sheetName val="Tab. 2 &amp; Tab. 7"/>
      <sheetName val="Tab. 3"/>
      <sheetName val="Tab. 3-Chron 2024"/>
      <sheetName val="Tab. 3-Chron 2023"/>
      <sheetName val="Tab. 5 &amp; 6"/>
      <sheetName val="Fig. 1"/>
      <sheetName val="Proxy Group Criteria"/>
      <sheetName val="Proxy Group Ticker"/>
      <sheetName val="Results Summary"/>
      <sheetName val="Exhibit List"/>
      <sheetName val="2"/>
      <sheetName val="3 (1)"/>
      <sheetName val="3 (2-4)"/>
      <sheetName val="3 (5-6)"/>
      <sheetName val="4 (1-3)"/>
      <sheetName val=" 4 (4)"/>
      <sheetName val="5 (1)"/>
      <sheetName val="5 (2)"/>
      <sheetName val="5 (3)"/>
      <sheetName val="6"/>
      <sheetName val="7"/>
      <sheetName val="8"/>
      <sheetName val="9 (1)"/>
      <sheetName val="9 (2)"/>
      <sheetName val="9 (3)"/>
      <sheetName val="10"/>
      <sheetName val="11"/>
      <sheetName val="12 (1)"/>
      <sheetName val="12 (2)"/>
      <sheetName val="12 (3)"/>
      <sheetName val="Proxy Group Risk Measures"/>
      <sheetName val="Stock Price (Utility)"/>
      <sheetName val="Stock Price (Non-Utility)"/>
      <sheetName val="2025 01 Market DCF"/>
      <sheetName val="Bond Yields"/>
      <sheetName val="Electric Utility Data"/>
      <sheetName val="Kroll Size Adjustment"/>
      <sheetName val="Ordinal Rating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C3" t="str">
            <v>Alliant Energy</v>
          </cell>
        </row>
      </sheetData>
      <sheetData sheetId="9" refreshError="1"/>
      <sheetData sheetId="10">
        <row r="12">
          <cell r="B12" t="str">
            <v>Exhibit AMM-8</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41">
          <cell r="D41">
            <v>7.3599999999999999E-2</v>
          </cell>
        </row>
        <row r="42">
          <cell r="D42">
            <v>0.1595</v>
          </cell>
        </row>
      </sheetData>
      <sheetData sheetId="20" refreshError="1"/>
      <sheetData sheetId="21">
        <row r="9">
          <cell r="I9">
            <v>0.9</v>
          </cell>
        </row>
      </sheetData>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ow r="2">
          <cell r="C2" t="str">
            <v>ALE</v>
          </cell>
        </row>
      </sheetData>
      <sheetData sheetId="33" refreshError="1"/>
      <sheetData sheetId="34">
        <row r="409">
          <cell r="M409">
            <v>1.55E-2</v>
          </cell>
        </row>
      </sheetData>
      <sheetData sheetId="35">
        <row r="14">
          <cell r="G14">
            <v>4.5100000000000001E-2</v>
          </cell>
        </row>
      </sheetData>
      <sheetData sheetId="36">
        <row r="8">
          <cell r="B8" t="str">
            <v>ALE</v>
          </cell>
        </row>
      </sheetData>
      <sheetData sheetId="37">
        <row r="9">
          <cell r="B9">
            <v>47156.53</v>
          </cell>
        </row>
      </sheetData>
      <sheetData sheetId="3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4" dT="2025-02-03T14:12:44.58" personId="{00000000-0000-0000-0000-000000000000}" id="{CE71B856-39C5-46A3-8463-3881F8B47BF3}">
    <text>Added spaces after the commas</text>
  </threadedComment>
</ThreadedComments>
</file>

<file path=xl/threadedComments/threadedComment2.xml><?xml version="1.0" encoding="utf-8"?>
<ThreadedComments xmlns="http://schemas.microsoft.com/office/spreadsheetml/2018/threadedcomments" xmlns:x="http://schemas.openxmlformats.org/spreadsheetml/2006/main">
  <threadedComment ref="M5" dT="2025-02-03T14:12:44.58" personId="{00000000-0000-0000-0000-000000000000}" id="{512058B9-F379-4538-BAF1-0A00680A46C3}">
    <text>Added spaces after the commas</text>
  </threadedComment>
  <threadedComment ref="D36" dT="2025-02-03T12:15:40.50" personId="{00000000-0000-0000-0000-000000000000}" id="{0A639CE7-93A0-4969-B7CA-190B1F0EA951}">
    <text>Sorted out company prefix for this and all highlighted ones. Just in case you have a master sheet which could you update for next time.</text>
  </threadedComment>
  <threadedComment ref="B147" dT="2025-02-03T13:14:26.07" personId="{00000000-0000-0000-0000-000000000000}" id="{8CC23AA8-E577-44E7-80C7-C34807B12748}">
    <text>Added ROR definition. Please double check.</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12.bin"/><Relationship Id="rId4" Type="http://schemas.openxmlformats.org/officeDocument/2006/relationships/ctrlProp" Target="../ctrlProps/ctrlProp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www.fred.stlouisfed.org/"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06870-9685-4743-8FCB-C0F7E1C16642}">
  <dimension ref="A41:A47"/>
  <sheetViews>
    <sheetView tabSelected="1" zoomScale="70" zoomScaleNormal="70" workbookViewId="0"/>
  </sheetViews>
  <sheetFormatPr defaultColWidth="8.7265625" defaultRowHeight="12.5"/>
  <cols>
    <col min="1" max="15" width="8.7265625" style="1281"/>
    <col min="16" max="16" width="3.54296875" style="1281" customWidth="1"/>
    <col min="17" max="16384" width="8.7265625" style="1281"/>
  </cols>
  <sheetData>
    <row r="41" s="1281" customFormat="1" ht="7.75" customHeight="1"/>
    <row r="47" s="1281" customFormat="1" ht="3" customHeight="1"/>
  </sheetData>
  <pageMargins left="0.7" right="0.7" top="0.75" bottom="0.75" header="0.3" footer="0.3"/>
  <pageSetup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F18CD-02AD-48C3-8EED-E0C76F3FEA5D}">
  <sheetPr>
    <pageSetUpPr fitToPage="1"/>
  </sheetPr>
  <dimension ref="A2:AQ253"/>
  <sheetViews>
    <sheetView showGridLines="0" defaultGridColor="0" colorId="22" zoomScaleNormal="100" workbookViewId="0">
      <pane ySplit="3" topLeftCell="A4" activePane="bottomLeft" state="frozen"/>
      <selection activeCell="B1" sqref="B1"/>
      <selection pane="bottomLeft" activeCell="A60" sqref="A60:XFD60"/>
    </sheetView>
  </sheetViews>
  <sheetFormatPr defaultColWidth="10.54296875" defaultRowHeight="11.25" customHeight="1"/>
  <cols>
    <col min="1" max="1" width="4.81640625" style="1086" customWidth="1"/>
    <col min="2" max="2" width="10.54296875" style="1086" customWidth="1"/>
    <col min="3" max="3" width="1.54296875" style="1086" customWidth="1"/>
    <col min="4" max="4" width="38.54296875" style="1086" customWidth="1"/>
    <col min="5" max="5" width="8.81640625" style="1086" customWidth="1"/>
    <col min="6" max="7" width="10.54296875" style="1086"/>
    <col min="8" max="8" width="15.453125" style="1086" customWidth="1"/>
    <col min="9" max="10" width="11.1796875" style="1086" customWidth="1"/>
    <col min="11" max="11" width="15.1796875" style="1086" customWidth="1"/>
    <col min="12" max="12" width="11.453125" style="1086" customWidth="1"/>
    <col min="13" max="13" width="11.453125" style="1054" customWidth="1"/>
    <col min="14" max="14" width="11.453125" style="1053" customWidth="1"/>
    <col min="15" max="15" width="4.54296875" style="1053" customWidth="1"/>
    <col min="16" max="16" width="8.81640625" style="1094" customWidth="1"/>
    <col min="17" max="19" width="11.453125" style="1053" customWidth="1"/>
    <col min="20" max="20" width="4" style="1053" customWidth="1"/>
    <col min="21" max="21" width="10.54296875" style="1053"/>
    <col min="22" max="22" width="11.1796875" style="1052" customWidth="1"/>
    <col min="23" max="43" width="10.54296875" style="1053"/>
    <col min="44" max="16384" width="10.54296875" style="1086"/>
  </cols>
  <sheetData>
    <row r="2" spans="2:43" s="1053" customFormat="1" ht="35.15" customHeight="1">
      <c r="B2" s="1049"/>
      <c r="C2" s="1050"/>
      <c r="D2" s="1051"/>
      <c r="E2" s="1052"/>
      <c r="F2" s="1052"/>
      <c r="H2" s="1052"/>
      <c r="I2" s="1052"/>
      <c r="J2" s="1052"/>
      <c r="K2" s="1052"/>
      <c r="L2" s="1052"/>
      <c r="M2" s="1054"/>
      <c r="N2" s="1052"/>
      <c r="O2" s="1052"/>
      <c r="P2" s="1055"/>
      <c r="R2" s="1052"/>
      <c r="S2" s="1052"/>
      <c r="V2" s="1052"/>
    </row>
    <row r="3" spans="2:43" s="1053" customFormat="1" ht="42.75" customHeight="1">
      <c r="B3" s="900" t="s">
        <v>1610</v>
      </c>
      <c r="C3" s="901"/>
      <c r="D3" s="901"/>
      <c r="E3" s="901"/>
      <c r="F3" s="901"/>
      <c r="G3" s="901"/>
      <c r="H3" s="1052"/>
      <c r="I3" s="1052"/>
      <c r="J3" s="1052"/>
      <c r="K3" s="1052"/>
      <c r="L3" s="1052"/>
      <c r="M3" s="1054"/>
      <c r="N3" s="1052"/>
      <c r="O3" s="1052"/>
      <c r="P3" s="1055"/>
      <c r="R3" s="1052"/>
      <c r="S3" s="1052"/>
      <c r="V3" s="1052"/>
    </row>
    <row r="4" spans="2:43" s="1070" customFormat="1" ht="11.5">
      <c r="B4" s="1056" t="s">
        <v>1611</v>
      </c>
      <c r="C4" s="1057"/>
      <c r="D4" s="1058"/>
      <c r="E4" s="1059"/>
      <c r="F4" s="1060"/>
      <c r="G4" s="1060"/>
      <c r="H4" s="1061"/>
      <c r="I4" s="1062"/>
      <c r="J4" s="1063"/>
      <c r="K4" s="1064"/>
      <c r="L4" s="1065"/>
      <c r="M4" s="1066"/>
      <c r="N4" s="1067"/>
      <c r="O4" s="1067"/>
      <c r="P4" s="1068"/>
      <c r="Q4" s="1067"/>
      <c r="R4" s="1067"/>
      <c r="S4" s="1067"/>
      <c r="T4" s="1069"/>
      <c r="U4" s="1069"/>
      <c r="V4" s="1069"/>
      <c r="W4" s="1069"/>
    </row>
    <row r="5" spans="2:43" s="1083" customFormat="1" ht="21">
      <c r="B5" s="1071" t="s">
        <v>514</v>
      </c>
      <c r="C5" s="1072"/>
      <c r="D5" s="1073" t="s">
        <v>78</v>
      </c>
      <c r="E5" s="1073" t="s">
        <v>141</v>
      </c>
      <c r="F5" s="1074" t="s">
        <v>1612</v>
      </c>
      <c r="G5" s="1074" t="s">
        <v>1613</v>
      </c>
      <c r="H5" s="1075" t="s">
        <v>1683</v>
      </c>
      <c r="I5" s="1076" t="s">
        <v>1653</v>
      </c>
      <c r="J5" s="1076" t="s">
        <v>1805</v>
      </c>
      <c r="K5" s="1077" t="s">
        <v>1617</v>
      </c>
      <c r="L5" s="1078" t="s">
        <v>1618</v>
      </c>
      <c r="M5" s="1079"/>
      <c r="N5" s="1080"/>
      <c r="O5" s="1080"/>
      <c r="P5" s="1081"/>
      <c r="Q5" s="1080"/>
      <c r="R5" s="1080"/>
      <c r="S5" s="1080"/>
      <c r="T5" s="1082"/>
      <c r="U5" s="1082"/>
      <c r="V5" s="1082"/>
      <c r="W5" s="1082"/>
    </row>
    <row r="6" spans="2:43" ht="11.25" customHeight="1">
      <c r="B6" s="1084">
        <v>44945</v>
      </c>
      <c r="C6" s="1085"/>
      <c r="D6" s="1086" t="s">
        <v>175</v>
      </c>
      <c r="E6" s="1086" t="s">
        <v>161</v>
      </c>
      <c r="F6" s="1087" t="s">
        <v>1806</v>
      </c>
      <c r="G6" s="1088">
        <v>9.9</v>
      </c>
      <c r="H6" s="1088" t="s">
        <v>1806</v>
      </c>
      <c r="I6" s="1089">
        <v>45291</v>
      </c>
      <c r="J6" s="1087" t="s">
        <v>47</v>
      </c>
      <c r="K6" s="1090">
        <v>155</v>
      </c>
      <c r="L6" s="1091" t="s">
        <v>1290</v>
      </c>
      <c r="N6" s="1087"/>
      <c r="O6" s="1088"/>
      <c r="P6" s="1088"/>
      <c r="Q6" s="1092"/>
      <c r="R6" s="1055"/>
      <c r="S6" s="1093"/>
      <c r="T6" s="1093"/>
      <c r="U6" s="1094"/>
      <c r="V6" s="1055"/>
      <c r="W6" s="1095"/>
      <c r="X6" s="1096"/>
    </row>
    <row r="7" spans="2:43" ht="11.25" customHeight="1">
      <c r="B7" s="1084">
        <v>44949</v>
      </c>
      <c r="C7" s="1085"/>
      <c r="D7" s="1086" t="s">
        <v>1712</v>
      </c>
      <c r="E7" s="1086" t="s">
        <v>142</v>
      </c>
      <c r="F7" s="1087">
        <v>7.12</v>
      </c>
      <c r="G7" s="1088">
        <v>9.65</v>
      </c>
      <c r="H7" s="1088">
        <v>52.5</v>
      </c>
      <c r="I7" s="1089">
        <v>44926</v>
      </c>
      <c r="J7" s="1087" t="s">
        <v>47</v>
      </c>
      <c r="K7" s="1090">
        <v>58.6</v>
      </c>
      <c r="L7" s="1091" t="s">
        <v>1636</v>
      </c>
      <c r="N7" s="1087"/>
      <c r="O7" s="1088"/>
      <c r="P7" s="1088"/>
      <c r="Q7" s="1097"/>
      <c r="R7" s="1055"/>
      <c r="S7" s="1093"/>
      <c r="T7" s="1093"/>
      <c r="U7" s="1094"/>
      <c r="V7" s="1055"/>
      <c r="W7" s="1095"/>
      <c r="X7" s="1096"/>
    </row>
    <row r="8" spans="2:43" ht="11.25" customHeight="1">
      <c r="B8" s="1084">
        <v>44952</v>
      </c>
      <c r="C8" s="1085"/>
      <c r="D8" s="1086" t="s">
        <v>1807</v>
      </c>
      <c r="E8" s="1086" t="s">
        <v>1199</v>
      </c>
      <c r="F8" s="1087">
        <v>7.48</v>
      </c>
      <c r="G8" s="1088">
        <v>9.75</v>
      </c>
      <c r="H8" s="1088">
        <v>52</v>
      </c>
      <c r="I8" s="1089">
        <v>44561</v>
      </c>
      <c r="J8" s="1087" t="s">
        <v>1620</v>
      </c>
      <c r="K8" s="1090">
        <v>20.101814999999998</v>
      </c>
      <c r="L8" s="1091" t="s">
        <v>1290</v>
      </c>
      <c r="N8" s="1087"/>
      <c r="O8" s="1088"/>
      <c r="P8" s="1088"/>
      <c r="Q8" s="1097"/>
      <c r="R8" s="1055"/>
      <c r="S8" s="1093"/>
      <c r="T8" s="1093"/>
      <c r="U8" s="1094"/>
      <c r="V8" s="1055"/>
      <c r="W8" s="1095"/>
      <c r="X8" s="1096"/>
    </row>
    <row r="9" spans="2:43" s="1100" customFormat="1" ht="11.15" customHeight="1">
      <c r="B9" s="1098">
        <v>44966</v>
      </c>
      <c r="C9" s="1099"/>
      <c r="D9" s="1100" t="s">
        <v>188</v>
      </c>
      <c r="E9" s="1100" t="s">
        <v>190</v>
      </c>
      <c r="F9" s="1101">
        <v>6.83</v>
      </c>
      <c r="G9" s="1102">
        <v>9.6</v>
      </c>
      <c r="H9" s="1102">
        <v>52.43</v>
      </c>
      <c r="I9" s="1103">
        <v>44561</v>
      </c>
      <c r="J9" s="1101" t="s">
        <v>1620</v>
      </c>
      <c r="K9" s="1104">
        <v>52.296999999999997</v>
      </c>
      <c r="L9" s="1105" t="s">
        <v>1290</v>
      </c>
      <c r="M9" s="1106"/>
      <c r="N9" s="1101"/>
      <c r="O9" s="1102"/>
      <c r="P9" s="1102"/>
      <c r="Q9" s="1107"/>
      <c r="R9" s="1108"/>
      <c r="S9" s="1109"/>
      <c r="T9" s="1109"/>
      <c r="U9" s="1110"/>
      <c r="V9" s="1108"/>
      <c r="W9" s="1111"/>
      <c r="X9" s="1112"/>
      <c r="Y9" s="1113"/>
      <c r="Z9" s="1113"/>
      <c r="AA9" s="1113"/>
      <c r="AB9" s="1113"/>
      <c r="AC9" s="1113"/>
      <c r="AD9" s="1113"/>
      <c r="AE9" s="1113"/>
      <c r="AF9" s="1113"/>
      <c r="AG9" s="1113"/>
      <c r="AH9" s="1113"/>
      <c r="AI9" s="1113"/>
      <c r="AJ9" s="1113"/>
      <c r="AK9" s="1113"/>
      <c r="AL9" s="1113"/>
      <c r="AM9" s="1113"/>
      <c r="AN9" s="1113"/>
      <c r="AO9" s="1113"/>
      <c r="AP9" s="1113"/>
      <c r="AQ9" s="1113"/>
    </row>
    <row r="10" spans="2:43" ht="11.25" customHeight="1">
      <c r="B10" s="1084">
        <v>44973</v>
      </c>
      <c r="C10" s="1085"/>
      <c r="D10" s="1086" t="s">
        <v>1808</v>
      </c>
      <c r="E10" s="1086" t="s">
        <v>169</v>
      </c>
      <c r="F10" s="1087" t="s">
        <v>1806</v>
      </c>
      <c r="G10" s="1088" t="s">
        <v>1806</v>
      </c>
      <c r="H10" s="1088" t="s">
        <v>1806</v>
      </c>
      <c r="I10" s="1089">
        <v>44742</v>
      </c>
      <c r="J10" s="1087" t="s">
        <v>1806</v>
      </c>
      <c r="K10" s="1090">
        <v>-14</v>
      </c>
      <c r="L10" s="1091" t="s">
        <v>1809</v>
      </c>
      <c r="N10" s="1087"/>
      <c r="O10" s="1088"/>
      <c r="P10" s="1088"/>
      <c r="Q10" s="1092"/>
      <c r="R10" s="1055"/>
      <c r="S10" s="1093"/>
      <c r="T10" s="1093"/>
      <c r="U10" s="1094"/>
      <c r="V10" s="1055"/>
      <c r="W10" s="1095"/>
      <c r="X10" s="1096"/>
    </row>
    <row r="11" spans="2:43" ht="11.25" customHeight="1">
      <c r="B11" s="1084">
        <v>44974</v>
      </c>
      <c r="C11" s="1085"/>
      <c r="D11" s="1086" t="s">
        <v>154</v>
      </c>
      <c r="E11" s="1086" t="s">
        <v>160</v>
      </c>
      <c r="F11" s="1087" t="s">
        <v>1806</v>
      </c>
      <c r="G11" s="1088">
        <v>9.5</v>
      </c>
      <c r="H11" s="1088" t="s">
        <v>1806</v>
      </c>
      <c r="I11" s="1114" t="s">
        <v>1806</v>
      </c>
      <c r="J11" s="1087" t="s">
        <v>1806</v>
      </c>
      <c r="K11" s="1090">
        <v>27</v>
      </c>
      <c r="L11" s="1091" t="s">
        <v>1290</v>
      </c>
      <c r="N11" s="1087"/>
      <c r="O11" s="1088"/>
      <c r="P11" s="1088"/>
      <c r="Q11" s="1097"/>
      <c r="R11" s="1055"/>
      <c r="S11" s="1115"/>
      <c r="U11" s="1094"/>
      <c r="V11" s="1055"/>
      <c r="W11" s="1095"/>
      <c r="X11" s="1096"/>
    </row>
    <row r="12" spans="2:43" ht="11.25" customHeight="1">
      <c r="B12" s="1084">
        <v>44978</v>
      </c>
      <c r="C12" s="1085"/>
      <c r="D12" s="1086" t="s">
        <v>1808</v>
      </c>
      <c r="E12" s="1086" t="s">
        <v>169</v>
      </c>
      <c r="F12" s="1087" t="s">
        <v>1806</v>
      </c>
      <c r="G12" s="1088" t="s">
        <v>1806</v>
      </c>
      <c r="H12" s="1088" t="s">
        <v>1806</v>
      </c>
      <c r="I12" s="1089">
        <v>44834</v>
      </c>
      <c r="J12" s="1087" t="s">
        <v>1620</v>
      </c>
      <c r="K12" s="1090" t="s">
        <v>1806</v>
      </c>
      <c r="L12" s="1091" t="s">
        <v>1810</v>
      </c>
      <c r="N12" s="1087"/>
      <c r="O12" s="1088"/>
      <c r="P12" s="1088"/>
      <c r="Q12" s="1092"/>
      <c r="R12" s="1055"/>
      <c r="S12" s="1115"/>
      <c r="U12" s="1094"/>
      <c r="V12" s="1055"/>
      <c r="W12" s="1095"/>
      <c r="X12" s="1096"/>
    </row>
    <row r="13" spans="2:43" s="1406" customFormat="1" ht="11.25" customHeight="1">
      <c r="B13" s="1404">
        <v>44987</v>
      </c>
      <c r="C13" s="1405"/>
      <c r="D13" s="1406" t="s">
        <v>1688</v>
      </c>
      <c r="E13" s="1406" t="s">
        <v>155</v>
      </c>
      <c r="F13" s="1407">
        <v>5.33</v>
      </c>
      <c r="G13" s="1408" t="s">
        <v>1806</v>
      </c>
      <c r="H13" s="1408">
        <v>38.57</v>
      </c>
      <c r="I13" s="1409">
        <v>44651</v>
      </c>
      <c r="J13" s="1407" t="s">
        <v>47</v>
      </c>
      <c r="K13" s="1410">
        <v>9.5923219999999993</v>
      </c>
      <c r="L13" s="1411" t="s">
        <v>1811</v>
      </c>
      <c r="M13" s="1412"/>
      <c r="N13" s="1407"/>
      <c r="O13" s="1408"/>
      <c r="P13" s="1408"/>
      <c r="Q13" s="1413"/>
      <c r="R13" s="1414"/>
      <c r="S13" s="1415"/>
      <c r="U13" s="1416"/>
      <c r="V13" s="1414"/>
      <c r="W13" s="1408"/>
      <c r="X13" s="1411"/>
    </row>
    <row r="14" spans="2:43" ht="11.25" customHeight="1">
      <c r="B14" s="1084">
        <v>44994</v>
      </c>
      <c r="C14" s="1085"/>
      <c r="D14" s="1086" t="s">
        <v>1812</v>
      </c>
      <c r="E14" s="1086" t="s">
        <v>169</v>
      </c>
      <c r="F14" s="1087">
        <v>6.65</v>
      </c>
      <c r="G14" s="1088">
        <v>9.6999999999999993</v>
      </c>
      <c r="H14" s="1088">
        <v>42.5</v>
      </c>
      <c r="I14" s="1089">
        <v>44561</v>
      </c>
      <c r="J14" s="1087" t="s">
        <v>1620</v>
      </c>
      <c r="K14" s="1090">
        <v>100.53552500000001</v>
      </c>
      <c r="L14" s="1091" t="s">
        <v>138</v>
      </c>
      <c r="N14" s="1087"/>
      <c r="O14" s="1088"/>
      <c r="P14" s="1088"/>
      <c r="Q14" s="1116"/>
      <c r="R14" s="1055"/>
      <c r="S14" s="1115"/>
      <c r="U14" s="1094"/>
      <c r="V14" s="1055"/>
      <c r="W14" s="1095"/>
      <c r="X14" s="1096"/>
    </row>
    <row r="15" spans="2:43" ht="11.25" customHeight="1">
      <c r="B15" s="1084">
        <v>45008</v>
      </c>
      <c r="C15" s="1085"/>
      <c r="D15" s="1086" t="s">
        <v>1813</v>
      </c>
      <c r="E15" s="1086" t="s">
        <v>169</v>
      </c>
      <c r="F15" s="1087" t="s">
        <v>1806</v>
      </c>
      <c r="G15" s="1088" t="s">
        <v>1806</v>
      </c>
      <c r="H15" s="1088" t="s">
        <v>1806</v>
      </c>
      <c r="I15" s="1114" t="s">
        <v>1806</v>
      </c>
      <c r="J15" s="1087" t="s">
        <v>1806</v>
      </c>
      <c r="K15" s="1090">
        <v>-8.6999999999999993</v>
      </c>
      <c r="L15" s="1091" t="s">
        <v>1814</v>
      </c>
      <c r="N15" s="1087"/>
      <c r="O15" s="1088"/>
      <c r="P15" s="1088"/>
      <c r="Q15" s="1097"/>
      <c r="R15" s="1117"/>
      <c r="S15" s="1115"/>
      <c r="V15" s="1117"/>
      <c r="W15" s="1095"/>
      <c r="X15" s="1096"/>
    </row>
    <row r="16" spans="2:43" ht="11.25" customHeight="1">
      <c r="B16" s="1084">
        <v>45009</v>
      </c>
      <c r="C16" s="1085"/>
      <c r="D16" s="1086" t="s">
        <v>1705</v>
      </c>
      <c r="E16" s="1086" t="s">
        <v>161</v>
      </c>
      <c r="F16" s="1087" t="s">
        <v>1806</v>
      </c>
      <c r="G16" s="1088">
        <v>9.9</v>
      </c>
      <c r="H16" s="1088" t="s">
        <v>1806</v>
      </c>
      <c r="I16" s="1089">
        <v>45473</v>
      </c>
      <c r="J16" s="1087" t="s">
        <v>47</v>
      </c>
      <c r="K16" s="1090">
        <v>10.8</v>
      </c>
      <c r="L16" s="1091" t="s">
        <v>1290</v>
      </c>
      <c r="N16" s="1087"/>
      <c r="O16" s="1088"/>
      <c r="P16" s="1088"/>
      <c r="Q16" s="1097"/>
      <c r="R16" s="1115"/>
      <c r="S16" s="1115"/>
      <c r="U16" s="1093"/>
      <c r="V16" s="1115"/>
      <c r="W16" s="1095"/>
      <c r="X16" s="1096"/>
    </row>
    <row r="17" spans="1:26" ht="11.25" customHeight="1">
      <c r="A17" s="1118"/>
      <c r="B17" s="1119">
        <v>2023</v>
      </c>
      <c r="C17" s="1120"/>
      <c r="D17" s="1121" t="s">
        <v>1815</v>
      </c>
      <c r="E17" s="1122"/>
      <c r="F17" s="1123">
        <v>6.8</v>
      </c>
      <c r="G17" s="1124">
        <v>9.7100000000000009</v>
      </c>
      <c r="H17" s="1124">
        <v>49.36</v>
      </c>
      <c r="I17" s="1123"/>
      <c r="J17" s="1124"/>
      <c r="K17" s="1125">
        <v>1436.3</v>
      </c>
      <c r="L17" s="1126"/>
      <c r="N17" s="1127"/>
      <c r="O17" s="1127"/>
      <c r="P17" s="1127"/>
      <c r="Q17" s="1128"/>
      <c r="R17" s="1117"/>
      <c r="S17" s="1117"/>
      <c r="U17" s="1128"/>
      <c r="V17" s="1117"/>
      <c r="W17" s="1129"/>
      <c r="X17" s="1129"/>
      <c r="Z17" s="1093"/>
    </row>
    <row r="18" spans="1:26" ht="11.25" customHeight="1">
      <c r="B18" s="1130"/>
      <c r="C18" s="1120"/>
      <c r="D18" s="1121" t="s">
        <v>324</v>
      </c>
      <c r="E18" s="1122"/>
      <c r="F18" s="1131">
        <v>8</v>
      </c>
      <c r="G18" s="1131">
        <v>10</v>
      </c>
      <c r="H18" s="1132">
        <v>8</v>
      </c>
      <c r="I18" s="1123"/>
      <c r="J18" s="1133"/>
      <c r="K18" s="1134">
        <v>16</v>
      </c>
      <c r="L18" s="1126"/>
      <c r="N18" s="1117"/>
      <c r="O18" s="1117"/>
      <c r="P18" s="1135"/>
      <c r="Q18" s="1128"/>
      <c r="R18" s="1117"/>
      <c r="S18" s="1117"/>
      <c r="U18" s="1128"/>
      <c r="V18" s="1117"/>
    </row>
    <row r="19" spans="1:26" ht="11.25" customHeight="1">
      <c r="B19" s="1136">
        <v>45043</v>
      </c>
      <c r="C19" s="1137"/>
      <c r="D19" s="1053" t="s">
        <v>1816</v>
      </c>
      <c r="E19" s="1053" t="s">
        <v>228</v>
      </c>
      <c r="F19" s="1051" t="s">
        <v>1806</v>
      </c>
      <c r="G19" s="1095">
        <v>10</v>
      </c>
      <c r="H19" s="1095">
        <v>52.5</v>
      </c>
      <c r="I19" s="1138">
        <v>44926</v>
      </c>
      <c r="J19" s="1051" t="s">
        <v>47</v>
      </c>
      <c r="K19" s="1139">
        <v>26.145</v>
      </c>
      <c r="L19" s="1096"/>
      <c r="N19" s="1117"/>
      <c r="O19" s="1117"/>
      <c r="P19" s="1135"/>
      <c r="Q19" s="1128"/>
      <c r="R19" s="1117"/>
      <c r="S19" s="1117"/>
      <c r="U19" s="1128"/>
      <c r="V19" s="1117"/>
    </row>
    <row r="20" spans="1:26" ht="11.25" customHeight="1">
      <c r="B20" s="1084">
        <v>45077</v>
      </c>
      <c r="C20" s="1085"/>
      <c r="D20" s="1086" t="s">
        <v>1640</v>
      </c>
      <c r="E20" s="1086" t="s">
        <v>1641</v>
      </c>
      <c r="F20" s="1087">
        <v>6.59</v>
      </c>
      <c r="G20" s="1088">
        <v>9.35</v>
      </c>
      <c r="H20" s="1088">
        <v>49</v>
      </c>
      <c r="I20" s="1089">
        <v>44561</v>
      </c>
      <c r="J20" s="1087" t="s">
        <v>47</v>
      </c>
      <c r="K20" s="1090">
        <v>30.357845000000001</v>
      </c>
      <c r="L20" s="1091" t="s">
        <v>1643</v>
      </c>
      <c r="N20" s="1117"/>
      <c r="O20" s="1117"/>
      <c r="P20" s="1135"/>
      <c r="Q20" s="1128"/>
      <c r="R20" s="1117"/>
      <c r="S20" s="1117"/>
      <c r="U20" s="1128"/>
      <c r="V20" s="1117"/>
    </row>
    <row r="21" spans="1:26" ht="11.25" customHeight="1">
      <c r="B21" s="1084">
        <v>45078</v>
      </c>
      <c r="C21" s="1085"/>
      <c r="D21" s="1086" t="s">
        <v>1656</v>
      </c>
      <c r="E21" s="1086" t="s">
        <v>142</v>
      </c>
      <c r="F21" s="1087">
        <v>6.95</v>
      </c>
      <c r="G21" s="1088">
        <v>9.25</v>
      </c>
      <c r="H21" s="1088">
        <v>52.5</v>
      </c>
      <c r="I21" s="1089">
        <v>45657</v>
      </c>
      <c r="J21" s="1087" t="s">
        <v>47</v>
      </c>
      <c r="K21" s="1090">
        <v>316.3</v>
      </c>
      <c r="L21" s="1091" t="s">
        <v>1817</v>
      </c>
      <c r="N21" s="1117"/>
      <c r="O21" s="1117"/>
      <c r="P21" s="1135"/>
      <c r="Q21" s="1128"/>
      <c r="R21" s="1117"/>
      <c r="S21" s="1117"/>
      <c r="U21" s="1128"/>
      <c r="V21" s="1117"/>
    </row>
    <row r="22" spans="1:26" ht="11.25" customHeight="1">
      <c r="B22" s="1084">
        <v>45083</v>
      </c>
      <c r="C22" s="1085"/>
      <c r="D22" s="1086" t="s">
        <v>1818</v>
      </c>
      <c r="E22" s="1086" t="s">
        <v>1641</v>
      </c>
      <c r="F22" s="1087">
        <v>6.74</v>
      </c>
      <c r="G22" s="1088">
        <v>9.35</v>
      </c>
      <c r="H22" s="1088">
        <v>50</v>
      </c>
      <c r="I22" s="1114" t="s">
        <v>1806</v>
      </c>
      <c r="J22" s="1087" t="s">
        <v>1806</v>
      </c>
      <c r="K22" s="1090">
        <v>67</v>
      </c>
      <c r="L22" s="1091" t="s">
        <v>1643</v>
      </c>
      <c r="N22" s="1117"/>
      <c r="O22" s="1117"/>
      <c r="P22" s="1135"/>
      <c r="Q22" s="1128"/>
      <c r="R22" s="1117"/>
      <c r="S22" s="1117"/>
      <c r="U22" s="1128"/>
      <c r="V22" s="1117"/>
    </row>
    <row r="23" spans="1:26" ht="11.25" customHeight="1">
      <c r="B23" s="1084">
        <v>45083</v>
      </c>
      <c r="C23" s="1085"/>
      <c r="D23" s="1086" t="s">
        <v>1699</v>
      </c>
      <c r="E23" s="1086" t="s">
        <v>236</v>
      </c>
      <c r="F23" s="1087">
        <v>7.13</v>
      </c>
      <c r="G23" s="1088">
        <v>9.75</v>
      </c>
      <c r="H23" s="1088">
        <v>50.81</v>
      </c>
      <c r="I23" s="1089">
        <v>45291</v>
      </c>
      <c r="J23" s="1087" t="s">
        <v>47</v>
      </c>
      <c r="K23" s="1090">
        <v>10.898289</v>
      </c>
      <c r="L23" s="1091" t="s">
        <v>1622</v>
      </c>
      <c r="N23" s="1117"/>
      <c r="O23" s="1117"/>
      <c r="P23" s="1135"/>
      <c r="Q23" s="1128"/>
      <c r="R23" s="1117"/>
      <c r="S23" s="1117"/>
      <c r="U23" s="1128"/>
      <c r="V23" s="1117"/>
    </row>
    <row r="24" spans="1:26" ht="11.25" customHeight="1">
      <c r="B24" s="1084">
        <v>45083</v>
      </c>
      <c r="C24" s="1085"/>
      <c r="D24" s="1086" t="s">
        <v>1656</v>
      </c>
      <c r="E24" s="1086" t="s">
        <v>237</v>
      </c>
      <c r="F24" s="1087">
        <v>6.82</v>
      </c>
      <c r="G24" s="1088" t="s">
        <v>1806</v>
      </c>
      <c r="H24" s="1088" t="s">
        <v>1806</v>
      </c>
      <c r="I24" s="1089">
        <v>44561</v>
      </c>
      <c r="J24" s="1087" t="s">
        <v>47</v>
      </c>
      <c r="K24" s="1090">
        <v>44.612000000000002</v>
      </c>
      <c r="L24" s="1091" t="s">
        <v>1622</v>
      </c>
      <c r="N24" s="1117"/>
      <c r="O24" s="1117"/>
      <c r="P24" s="1135"/>
      <c r="Q24" s="1128"/>
      <c r="R24" s="1117"/>
      <c r="S24" s="1117"/>
      <c r="U24" s="1128"/>
      <c r="V24" s="1117"/>
    </row>
    <row r="25" spans="1:26" ht="11.25" customHeight="1">
      <c r="B25" s="1084">
        <v>45091</v>
      </c>
      <c r="C25" s="1085"/>
      <c r="D25" s="1086" t="s">
        <v>151</v>
      </c>
      <c r="E25" s="1086" t="s">
        <v>152</v>
      </c>
      <c r="F25" s="1087" t="s">
        <v>1806</v>
      </c>
      <c r="G25" s="1088" t="s">
        <v>1806</v>
      </c>
      <c r="H25" s="1088" t="s">
        <v>1806</v>
      </c>
      <c r="I25" s="1089">
        <v>44651</v>
      </c>
      <c r="J25" s="1087" t="s">
        <v>1806</v>
      </c>
      <c r="K25" s="1090">
        <v>140</v>
      </c>
      <c r="L25" s="1091" t="s">
        <v>1290</v>
      </c>
      <c r="N25" s="1117"/>
      <c r="O25" s="1117"/>
      <c r="P25" s="1135"/>
      <c r="Q25" s="1128"/>
      <c r="R25" s="1117"/>
      <c r="S25" s="1117"/>
      <c r="U25" s="1128"/>
      <c r="V25" s="1117"/>
    </row>
    <row r="26" spans="1:26" ht="11.25" customHeight="1">
      <c r="B26" s="1130"/>
      <c r="C26" s="1120"/>
      <c r="D26" s="1121" t="s">
        <v>1819</v>
      </c>
      <c r="E26" s="1122"/>
      <c r="F26" s="1131">
        <v>6.84</v>
      </c>
      <c r="G26" s="1131">
        <v>9.44</v>
      </c>
      <c r="H26" s="1124">
        <v>51.69</v>
      </c>
      <c r="I26" s="1123"/>
      <c r="J26" s="1133"/>
      <c r="K26" s="1140">
        <v>204.4</v>
      </c>
      <c r="L26" s="1126"/>
      <c r="N26" s="1117"/>
      <c r="O26" s="1117"/>
      <c r="P26" s="1135"/>
      <c r="Q26" s="1128"/>
      <c r="R26" s="1117"/>
      <c r="S26" s="1117"/>
      <c r="U26" s="1128"/>
      <c r="V26" s="1117"/>
    </row>
    <row r="27" spans="1:26" ht="11.25" customHeight="1">
      <c r="B27" s="1130"/>
      <c r="C27" s="1120"/>
      <c r="D27" s="1121" t="s">
        <v>324</v>
      </c>
      <c r="E27" s="1122"/>
      <c r="F27" s="1131">
        <v>11</v>
      </c>
      <c r="G27" s="1131">
        <v>11</v>
      </c>
      <c r="H27" s="1132">
        <v>11</v>
      </c>
      <c r="I27" s="1123"/>
      <c r="J27" s="1133"/>
      <c r="K27" s="1134">
        <v>17</v>
      </c>
      <c r="L27" s="1126"/>
      <c r="N27" s="1135"/>
      <c r="O27" s="1117"/>
      <c r="P27" s="1135"/>
      <c r="Q27" s="1128"/>
      <c r="R27" s="1117"/>
      <c r="S27" s="1117"/>
      <c r="U27" s="1128"/>
      <c r="V27" s="1117"/>
    </row>
    <row r="28" spans="1:26" ht="11.25" customHeight="1">
      <c r="B28" s="1084">
        <v>45127</v>
      </c>
      <c r="C28" s="1085"/>
      <c r="D28" s="1086" t="s">
        <v>177</v>
      </c>
      <c r="E28" s="1086" t="s">
        <v>178</v>
      </c>
      <c r="F28" s="1087">
        <v>6.75</v>
      </c>
      <c r="G28" s="1088">
        <v>9.25</v>
      </c>
      <c r="H28" s="1088">
        <v>48</v>
      </c>
      <c r="I28" s="1089">
        <v>45291</v>
      </c>
      <c r="J28" s="1087" t="s">
        <v>47</v>
      </c>
      <c r="K28" s="1091">
        <v>442.30599999999998</v>
      </c>
      <c r="L28" s="1091" t="s">
        <v>1643</v>
      </c>
      <c r="N28" s="1135"/>
      <c r="O28" s="1117"/>
      <c r="P28" s="1087"/>
      <c r="Q28" s="1128"/>
      <c r="R28" s="1117"/>
      <c r="S28" s="1117"/>
      <c r="U28" s="1128"/>
      <c r="V28" s="1117"/>
    </row>
    <row r="29" spans="1:26" ht="11.25" customHeight="1">
      <c r="B29" s="1084">
        <v>45140</v>
      </c>
      <c r="C29" s="1085"/>
      <c r="D29" s="1086" t="s">
        <v>1647</v>
      </c>
      <c r="E29" s="1086" t="s">
        <v>157</v>
      </c>
      <c r="F29" s="1088">
        <v>6.8</v>
      </c>
      <c r="G29" s="1088">
        <v>9.8000000000000007</v>
      </c>
      <c r="H29" s="1088">
        <v>51.63</v>
      </c>
      <c r="I29" s="1089">
        <v>45291</v>
      </c>
      <c r="J29" s="1087" t="s">
        <v>1620</v>
      </c>
      <c r="K29" s="1091">
        <v>261.92389199999997</v>
      </c>
      <c r="L29" s="1091" t="s">
        <v>1627</v>
      </c>
      <c r="N29" s="1135"/>
      <c r="O29" s="1117"/>
      <c r="P29" s="1087"/>
      <c r="Q29" s="1128"/>
      <c r="R29" s="1117"/>
      <c r="S29" s="1117"/>
      <c r="U29" s="1128"/>
      <c r="V29" s="1117"/>
    </row>
    <row r="30" spans="1:26" ht="11.25" customHeight="1">
      <c r="B30" s="1084">
        <v>45141</v>
      </c>
      <c r="C30" s="1085"/>
      <c r="D30" s="1086" t="s">
        <v>197</v>
      </c>
      <c r="E30" s="1086" t="s">
        <v>169</v>
      </c>
      <c r="F30" s="1087">
        <v>6.61</v>
      </c>
      <c r="G30" s="1088">
        <v>9.57</v>
      </c>
      <c r="H30" s="1088">
        <v>51.21</v>
      </c>
      <c r="I30" s="1089">
        <v>45291</v>
      </c>
      <c r="J30" s="1087" t="s">
        <v>1620</v>
      </c>
      <c r="K30" s="1091">
        <v>54</v>
      </c>
      <c r="L30" s="1091" t="s">
        <v>1290</v>
      </c>
      <c r="N30" s="1135"/>
      <c r="O30" s="1117"/>
      <c r="P30" s="1087"/>
      <c r="Q30" s="1128"/>
      <c r="R30" s="1117"/>
      <c r="S30" s="1117"/>
      <c r="U30" s="1128"/>
      <c r="V30" s="1117"/>
    </row>
    <row r="31" spans="1:26" ht="11.25" customHeight="1">
      <c r="B31" s="1136">
        <v>45156</v>
      </c>
      <c r="C31" s="1137"/>
      <c r="D31" s="1053" t="s">
        <v>188</v>
      </c>
      <c r="E31" s="1053" t="s">
        <v>187</v>
      </c>
      <c r="F31" s="1051">
        <v>7.07</v>
      </c>
      <c r="G31" s="1095">
        <v>9.8000000000000007</v>
      </c>
      <c r="H31" s="1095">
        <v>53</v>
      </c>
      <c r="I31" s="1138">
        <v>44561</v>
      </c>
      <c r="J31" s="1051" t="s">
        <v>1620</v>
      </c>
      <c r="K31" s="1096">
        <v>148.17099999999999</v>
      </c>
      <c r="L31" s="1096" t="s">
        <v>1817</v>
      </c>
      <c r="N31" s="1117"/>
      <c r="O31" s="1117"/>
      <c r="P31" s="1051"/>
      <c r="Q31" s="1128"/>
      <c r="R31" s="1117"/>
      <c r="S31" s="1117"/>
      <c r="U31" s="1128"/>
      <c r="V31" s="1117"/>
    </row>
    <row r="32" spans="1:26" ht="11.25" customHeight="1">
      <c r="B32" s="1136">
        <v>45161</v>
      </c>
      <c r="C32" s="1137"/>
      <c r="D32" s="1053" t="s">
        <v>1700</v>
      </c>
      <c r="E32" s="1053" t="s">
        <v>1701</v>
      </c>
      <c r="F32" s="1051">
        <v>6.88</v>
      </c>
      <c r="G32" s="1095">
        <v>9.58</v>
      </c>
      <c r="H32" s="1095">
        <v>49.88</v>
      </c>
      <c r="I32" s="1138">
        <v>45565</v>
      </c>
      <c r="J32" s="1051" t="s">
        <v>47</v>
      </c>
      <c r="K32" s="1096">
        <v>36.186</v>
      </c>
      <c r="L32" s="1054">
        <v>21</v>
      </c>
      <c r="N32" s="1135"/>
      <c r="O32" s="1117"/>
      <c r="P32" s="1051"/>
      <c r="Q32" s="1128"/>
      <c r="R32" s="1117"/>
      <c r="S32" s="1117"/>
      <c r="U32" s="1128"/>
      <c r="V32" s="1117"/>
    </row>
    <row r="33" spans="2:22" ht="11.25" customHeight="1">
      <c r="B33" s="1084">
        <v>45163</v>
      </c>
      <c r="C33" s="1085"/>
      <c r="D33" s="1086" t="s">
        <v>1820</v>
      </c>
      <c r="E33" s="1086" t="s">
        <v>206</v>
      </c>
      <c r="F33" s="1087">
        <v>6.48</v>
      </c>
      <c r="G33" s="1088">
        <v>8.6300000000000008</v>
      </c>
      <c r="H33" s="1088">
        <v>50</v>
      </c>
      <c r="I33" s="1089">
        <v>45291</v>
      </c>
      <c r="J33" s="1087" t="s">
        <v>47</v>
      </c>
      <c r="K33" s="1091">
        <v>22.957000000000001</v>
      </c>
      <c r="L33" s="1091" t="s">
        <v>1821</v>
      </c>
      <c r="N33" s="1135"/>
      <c r="O33" s="1117"/>
      <c r="P33" s="1087"/>
      <c r="Q33" s="1128"/>
      <c r="R33" s="1117"/>
      <c r="S33" s="1117"/>
      <c r="U33" s="1128"/>
      <c r="V33" s="1117"/>
    </row>
    <row r="34" spans="2:22" ht="11.25" customHeight="1">
      <c r="B34" s="1084">
        <v>45163</v>
      </c>
      <c r="C34" s="1085"/>
      <c r="D34" s="1086" t="s">
        <v>1822</v>
      </c>
      <c r="E34" s="1086" t="s">
        <v>1401</v>
      </c>
      <c r="F34" s="1087">
        <v>6.93</v>
      </c>
      <c r="G34" s="1088">
        <v>9.5500000000000007</v>
      </c>
      <c r="H34" s="1088">
        <v>54.32</v>
      </c>
      <c r="I34" s="1089">
        <v>44561</v>
      </c>
      <c r="J34" s="1087" t="s">
        <v>1620</v>
      </c>
      <c r="K34" s="1091">
        <v>100.130229</v>
      </c>
      <c r="L34" s="1091" t="s">
        <v>1518</v>
      </c>
      <c r="N34" s="1135"/>
      <c r="O34" s="1117"/>
      <c r="P34" s="1087"/>
      <c r="Q34" s="1128"/>
      <c r="R34" s="1117"/>
      <c r="S34" s="1117"/>
      <c r="U34" s="1128"/>
      <c r="V34" s="1117"/>
    </row>
    <row r="35" spans="2:22" ht="11.25" customHeight="1">
      <c r="B35" s="1084">
        <v>45169</v>
      </c>
      <c r="C35" s="1085"/>
      <c r="D35" s="1086" t="s">
        <v>1823</v>
      </c>
      <c r="E35" s="1086" t="s">
        <v>1564</v>
      </c>
      <c r="F35" s="1087">
        <v>8.7899999999999991</v>
      </c>
      <c r="G35" s="1088">
        <v>11.45</v>
      </c>
      <c r="H35" s="1088">
        <v>60.7</v>
      </c>
      <c r="I35" s="1089">
        <v>44561</v>
      </c>
      <c r="J35" s="1087" t="s">
        <v>47</v>
      </c>
      <c r="K35" s="1091">
        <v>2.1</v>
      </c>
      <c r="L35" s="1091" t="s">
        <v>1636</v>
      </c>
      <c r="N35" s="1135"/>
      <c r="O35" s="1117"/>
      <c r="P35" s="1087"/>
      <c r="Q35" s="1128"/>
      <c r="R35" s="1117"/>
      <c r="S35" s="1117"/>
      <c r="U35" s="1128"/>
      <c r="V35" s="1117"/>
    </row>
    <row r="36" spans="2:22" ht="11.25" customHeight="1">
      <c r="B36" s="1084">
        <v>45169</v>
      </c>
      <c r="C36" s="1085"/>
      <c r="D36" s="1086" t="s">
        <v>31</v>
      </c>
      <c r="E36" s="1086" t="s">
        <v>222</v>
      </c>
      <c r="F36" s="1087">
        <v>7.19</v>
      </c>
      <c r="G36" s="1088">
        <v>9.4</v>
      </c>
      <c r="H36" s="1088">
        <v>50</v>
      </c>
      <c r="I36" s="1089">
        <v>44742</v>
      </c>
      <c r="J36" s="1087" t="s">
        <v>47</v>
      </c>
      <c r="K36" s="1091">
        <v>26.439</v>
      </c>
      <c r="L36" s="1091" t="s">
        <v>1627</v>
      </c>
      <c r="N36" s="1135"/>
      <c r="O36" s="1117"/>
      <c r="P36" s="1087"/>
      <c r="Q36" s="1128"/>
      <c r="R36" s="1117"/>
      <c r="S36" s="1117"/>
      <c r="U36" s="1128"/>
      <c r="V36" s="1117"/>
    </row>
    <row r="37" spans="2:22" ht="11.25" customHeight="1">
      <c r="B37" s="1084">
        <v>45175</v>
      </c>
      <c r="C37" s="1085"/>
      <c r="D37" s="1086" t="s">
        <v>232</v>
      </c>
      <c r="E37" s="1086" t="s">
        <v>233</v>
      </c>
      <c r="F37" s="1087">
        <v>6.95</v>
      </c>
      <c r="G37" s="1088">
        <v>9.3000000000000007</v>
      </c>
      <c r="H37" s="1088">
        <v>55.69</v>
      </c>
      <c r="I37" s="1089">
        <v>44926</v>
      </c>
      <c r="J37" s="1087" t="s">
        <v>1620</v>
      </c>
      <c r="K37" s="1091">
        <v>45.009184999999995</v>
      </c>
      <c r="L37" s="1091" t="s">
        <v>1290</v>
      </c>
      <c r="N37" s="1135"/>
      <c r="O37" s="1117"/>
      <c r="P37" s="1087"/>
      <c r="Q37" s="1128"/>
      <c r="R37" s="1117"/>
      <c r="S37" s="1117"/>
      <c r="U37" s="1128"/>
      <c r="V37" s="1117"/>
    </row>
    <row r="38" spans="2:22" ht="11.25" customHeight="1">
      <c r="B38" s="1084">
        <v>45190</v>
      </c>
      <c r="C38" s="1085"/>
      <c r="D38" s="1086" t="s">
        <v>1699</v>
      </c>
      <c r="E38" s="1086" t="s">
        <v>1404</v>
      </c>
      <c r="F38" s="1087">
        <v>7.53</v>
      </c>
      <c r="G38" s="1088">
        <v>9.65</v>
      </c>
      <c r="H38" s="1088">
        <v>50.3</v>
      </c>
      <c r="I38" s="1089">
        <v>44742</v>
      </c>
      <c r="J38" s="1087" t="s">
        <v>1806</v>
      </c>
      <c r="K38" s="1091">
        <v>6.1004220000000009</v>
      </c>
      <c r="L38" s="1091" t="s">
        <v>1622</v>
      </c>
      <c r="N38" s="1135"/>
      <c r="O38" s="1117"/>
      <c r="P38" s="1087"/>
      <c r="Q38" s="1128"/>
      <c r="R38" s="1117"/>
      <c r="S38" s="1117"/>
      <c r="U38" s="1128"/>
      <c r="V38" s="1117"/>
    </row>
    <row r="39" spans="2:22" ht="11.25" customHeight="1">
      <c r="B39" s="1084">
        <v>45190</v>
      </c>
      <c r="C39" s="1085"/>
      <c r="D39" s="1086" t="s">
        <v>1824</v>
      </c>
      <c r="E39" s="1086" t="s">
        <v>219</v>
      </c>
      <c r="F39" s="1087" t="s">
        <v>1806</v>
      </c>
      <c r="G39" s="1088" t="s">
        <v>1806</v>
      </c>
      <c r="H39" s="1088" t="s">
        <v>1806</v>
      </c>
      <c r="I39" s="1089">
        <v>45565</v>
      </c>
      <c r="J39" s="1087" t="s">
        <v>1806</v>
      </c>
      <c r="K39" s="1091">
        <v>8.5</v>
      </c>
      <c r="L39" s="1091" t="s">
        <v>1639</v>
      </c>
      <c r="N39" s="1135"/>
      <c r="O39" s="1117"/>
      <c r="P39" s="1087"/>
      <c r="Q39" s="1128"/>
      <c r="R39" s="1117"/>
      <c r="S39" s="1117"/>
      <c r="U39" s="1128"/>
      <c r="V39" s="1117"/>
    </row>
    <row r="40" spans="2:22" ht="11.25" customHeight="1">
      <c r="B40" s="1084">
        <v>45197</v>
      </c>
      <c r="C40" s="1085"/>
      <c r="D40" s="1086" t="s">
        <v>1706</v>
      </c>
      <c r="E40" s="1086" t="s">
        <v>208</v>
      </c>
      <c r="F40" s="1087" t="s">
        <v>1806</v>
      </c>
      <c r="G40" s="1088" t="s">
        <v>1806</v>
      </c>
      <c r="H40" s="1088" t="s">
        <v>1806</v>
      </c>
      <c r="I40" s="1114" t="s">
        <v>1806</v>
      </c>
      <c r="J40" s="1087" t="s">
        <v>1806</v>
      </c>
      <c r="K40" s="1091">
        <v>66.651325</v>
      </c>
      <c r="L40" s="1091" t="s">
        <v>1825</v>
      </c>
      <c r="N40" s="1135"/>
      <c r="O40" s="1117"/>
      <c r="P40" s="1087"/>
      <c r="Q40" s="1128"/>
      <c r="R40" s="1117"/>
      <c r="S40" s="1117"/>
      <c r="U40" s="1128"/>
      <c r="V40" s="1117"/>
    </row>
    <row r="41" spans="2:22" ht="11.25" customHeight="1">
      <c r="B41" s="1130"/>
      <c r="C41" s="1120"/>
      <c r="D41" s="1121" t="s">
        <v>1826</v>
      </c>
      <c r="E41" s="1122"/>
      <c r="F41" s="1122">
        <v>7.01</v>
      </c>
      <c r="G41" s="1122">
        <v>9.5299999999999994</v>
      </c>
      <c r="H41" s="1122">
        <v>51.89</v>
      </c>
      <c r="I41" s="1122"/>
      <c r="J41" s="1122"/>
      <c r="K41" s="1141">
        <v>1830.7</v>
      </c>
      <c r="M41" s="1142"/>
      <c r="N41" s="1135"/>
      <c r="O41" s="1117"/>
      <c r="P41" s="1117"/>
      <c r="Q41" s="1128"/>
      <c r="R41" s="1117"/>
      <c r="S41" s="1117"/>
      <c r="U41" s="1128"/>
      <c r="V41" s="1117"/>
    </row>
    <row r="42" spans="2:22" ht="11.25" customHeight="1">
      <c r="B42" s="1130"/>
      <c r="C42" s="1120"/>
      <c r="D42" s="1121" t="s">
        <v>324</v>
      </c>
      <c r="E42" s="1122"/>
      <c r="F42" s="1122">
        <v>16</v>
      </c>
      <c r="G42" s="1122">
        <v>16</v>
      </c>
      <c r="H42" s="1122">
        <v>16</v>
      </c>
      <c r="I42" s="1122"/>
      <c r="J42" s="1122"/>
      <c r="K42" s="1143">
        <v>20</v>
      </c>
      <c r="L42" s="1144"/>
      <c r="M42" s="1142"/>
      <c r="N42" s="1135"/>
      <c r="O42" s="1117"/>
      <c r="P42" s="1135"/>
      <c r="Q42" s="1128"/>
      <c r="R42" s="1117"/>
      <c r="S42" s="1117"/>
      <c r="U42" s="1128"/>
      <c r="V42" s="1117"/>
    </row>
    <row r="43" spans="2:22" ht="11.25" customHeight="1">
      <c r="B43" s="1145">
        <v>45211</v>
      </c>
      <c r="C43" s="1146"/>
      <c r="D43" s="1147" t="s">
        <v>1827</v>
      </c>
      <c r="E43" s="1147" t="s">
        <v>159</v>
      </c>
      <c r="F43" s="1148">
        <v>7.19</v>
      </c>
      <c r="G43" s="1149">
        <v>9.75</v>
      </c>
      <c r="H43" s="1149">
        <v>52.15</v>
      </c>
      <c r="I43" s="1150">
        <v>45473</v>
      </c>
      <c r="J43" s="1151" t="s">
        <v>47</v>
      </c>
      <c r="K43" s="1152">
        <v>47.497999999999998</v>
      </c>
      <c r="L43" s="1153" t="s">
        <v>1518</v>
      </c>
      <c r="M43" s="1142"/>
      <c r="N43" s="1135"/>
      <c r="O43" s="1117"/>
      <c r="P43" s="1135"/>
      <c r="Q43" s="1128"/>
      <c r="R43" s="1117"/>
      <c r="S43" s="1117"/>
      <c r="U43" s="1128"/>
      <c r="V43" s="1117"/>
    </row>
    <row r="44" spans="2:22" ht="11.25" customHeight="1">
      <c r="B44" s="1084">
        <v>45211</v>
      </c>
      <c r="C44" s="1085"/>
      <c r="D44" s="1053" t="s">
        <v>1828</v>
      </c>
      <c r="E44" s="1086" t="s">
        <v>178</v>
      </c>
      <c r="F44" s="1154">
        <v>6.4</v>
      </c>
      <c r="G44" s="1154">
        <v>9.1999999999999993</v>
      </c>
      <c r="H44" s="1154">
        <v>48</v>
      </c>
      <c r="I44" s="1089">
        <v>45412</v>
      </c>
      <c r="J44" s="1087" t="s">
        <v>47</v>
      </c>
      <c r="K44" s="1155">
        <v>137.274</v>
      </c>
      <c r="L44" s="1091" t="s">
        <v>1643</v>
      </c>
      <c r="M44" s="1142"/>
      <c r="N44" s="1135"/>
      <c r="O44" s="1117"/>
      <c r="P44" s="1135"/>
      <c r="Q44" s="1128"/>
      <c r="R44" s="1117"/>
      <c r="S44" s="1117"/>
      <c r="U44" s="1128"/>
      <c r="V44" s="1117"/>
    </row>
    <row r="45" spans="2:22" ht="11.25" customHeight="1">
      <c r="B45" s="1084">
        <v>45211</v>
      </c>
      <c r="C45" s="1085"/>
      <c r="D45" s="1053" t="s">
        <v>1829</v>
      </c>
      <c r="E45" s="1086" t="s">
        <v>178</v>
      </c>
      <c r="F45" s="1086">
        <v>6.67</v>
      </c>
      <c r="G45" s="1154">
        <v>9.1999999999999993</v>
      </c>
      <c r="H45" s="1154">
        <v>48</v>
      </c>
      <c r="I45" s="1089">
        <v>45412</v>
      </c>
      <c r="J45" s="1087" t="s">
        <v>47</v>
      </c>
      <c r="K45" s="1155">
        <v>50.965000000000003</v>
      </c>
      <c r="L45" s="1091" t="s">
        <v>1643</v>
      </c>
      <c r="M45" s="1142"/>
      <c r="N45" s="1135"/>
      <c r="O45" s="1117"/>
      <c r="P45" s="1135"/>
      <c r="Q45" s="1128"/>
      <c r="R45" s="1117"/>
      <c r="S45" s="1117"/>
      <c r="U45" s="1128"/>
      <c r="V45" s="1117"/>
    </row>
    <row r="46" spans="2:22" ht="11.25" customHeight="1">
      <c r="B46" s="1084">
        <v>45217</v>
      </c>
      <c r="C46" s="1085"/>
      <c r="D46" s="1053" t="s">
        <v>1587</v>
      </c>
      <c r="E46" s="1086" t="s">
        <v>216</v>
      </c>
      <c r="F46" s="1086">
        <v>6.92</v>
      </c>
      <c r="G46" s="1154">
        <v>9.5</v>
      </c>
      <c r="H46" s="1154">
        <v>53</v>
      </c>
      <c r="I46" s="1089">
        <v>44926</v>
      </c>
      <c r="J46" s="1087" t="s">
        <v>47</v>
      </c>
      <c r="K46" s="1155">
        <v>28.745755000000003</v>
      </c>
      <c r="L46" s="1091" t="s">
        <v>138</v>
      </c>
      <c r="M46" s="1142"/>
      <c r="N46" s="1135"/>
      <c r="O46" s="1117"/>
      <c r="P46" s="1135"/>
      <c r="Q46" s="1093"/>
      <c r="R46" s="1117"/>
      <c r="S46" s="1117"/>
      <c r="U46" s="1128"/>
      <c r="V46" s="1117"/>
    </row>
    <row r="47" spans="2:22" ht="11.25" customHeight="1">
      <c r="B47" s="1084">
        <v>45218</v>
      </c>
      <c r="C47" s="1085"/>
      <c r="D47" s="1053" t="s">
        <v>234</v>
      </c>
      <c r="E47" s="1086" t="s">
        <v>235</v>
      </c>
      <c r="F47" s="1086">
        <v>7.17</v>
      </c>
      <c r="G47" s="1154">
        <v>9.5</v>
      </c>
      <c r="H47" s="1154">
        <v>54.7</v>
      </c>
      <c r="I47" s="1089">
        <v>45473</v>
      </c>
      <c r="J47" s="1087" t="s">
        <v>47</v>
      </c>
      <c r="K47" s="1155">
        <v>33</v>
      </c>
      <c r="L47" s="1091" t="s">
        <v>1290</v>
      </c>
      <c r="M47" s="1142"/>
      <c r="N47" s="1135"/>
      <c r="O47" s="1117"/>
      <c r="P47" s="1135"/>
      <c r="Q47" s="1093"/>
      <c r="R47" s="1117"/>
      <c r="S47" s="1117"/>
      <c r="U47" s="1128"/>
      <c r="V47" s="1117"/>
    </row>
    <row r="48" spans="2:22" ht="11.25" customHeight="1">
      <c r="B48" s="1084">
        <v>45224</v>
      </c>
      <c r="C48" s="1085"/>
      <c r="D48" s="1053" t="s">
        <v>1686</v>
      </c>
      <c r="E48" s="1086" t="s">
        <v>1404</v>
      </c>
      <c r="F48" s="1086">
        <v>6.72</v>
      </c>
      <c r="G48" s="1154">
        <v>9.65</v>
      </c>
      <c r="H48" s="1154">
        <v>48.02</v>
      </c>
      <c r="I48" s="1089">
        <v>44561</v>
      </c>
      <c r="J48" s="1087" t="s">
        <v>47</v>
      </c>
      <c r="K48" s="1155">
        <v>67.37746700000001</v>
      </c>
      <c r="L48" s="1091" t="s">
        <v>1622</v>
      </c>
      <c r="M48" s="1142"/>
      <c r="N48" s="1135"/>
      <c r="O48" s="1117"/>
      <c r="P48" s="1135"/>
      <c r="Q48" s="1093"/>
      <c r="R48" s="1117"/>
      <c r="S48" s="1117"/>
      <c r="U48" s="1128"/>
      <c r="V48" s="1117"/>
    </row>
    <row r="49" spans="2:22" ht="11.25" customHeight="1">
      <c r="B49" s="1084">
        <v>45233</v>
      </c>
      <c r="C49" s="1085"/>
      <c r="D49" s="1053" t="s">
        <v>1830</v>
      </c>
      <c r="E49" s="1086" t="s">
        <v>147</v>
      </c>
      <c r="F49" s="1086">
        <v>7.74</v>
      </c>
      <c r="G49" s="1154">
        <v>9.6999999999999993</v>
      </c>
      <c r="H49" s="1154">
        <v>56.06</v>
      </c>
      <c r="I49" s="1089">
        <v>46022</v>
      </c>
      <c r="J49" s="1087" t="s">
        <v>47</v>
      </c>
      <c r="K49" s="1155">
        <v>27.472000000000001</v>
      </c>
      <c r="L49" s="1091" t="s">
        <v>1624</v>
      </c>
      <c r="M49" s="1142"/>
      <c r="N49" s="1135"/>
      <c r="O49" s="1117"/>
      <c r="P49" s="1135"/>
      <c r="Q49" s="1093"/>
      <c r="R49" s="1117"/>
      <c r="S49" s="1117"/>
      <c r="U49" s="1128"/>
      <c r="V49" s="1117"/>
    </row>
    <row r="50" spans="2:22" ht="11.25" customHeight="1">
      <c r="B50" s="1084">
        <v>45233</v>
      </c>
      <c r="C50" s="1085"/>
      <c r="D50" s="1053" t="s">
        <v>164</v>
      </c>
      <c r="E50" s="1086" t="s">
        <v>165</v>
      </c>
      <c r="F50" s="1086">
        <v>6.69</v>
      </c>
      <c r="G50" s="1154">
        <v>9.3000000000000007</v>
      </c>
      <c r="H50" s="1154">
        <v>52</v>
      </c>
      <c r="I50" s="1089">
        <v>44742</v>
      </c>
      <c r="J50" s="1087" t="s">
        <v>1806</v>
      </c>
      <c r="K50" s="1155">
        <v>131.208</v>
      </c>
      <c r="L50" s="1091" t="s">
        <v>1622</v>
      </c>
      <c r="M50" s="1142"/>
      <c r="N50" s="1055"/>
      <c r="O50" s="1117"/>
      <c r="P50" s="1135"/>
      <c r="Q50" s="1093"/>
      <c r="R50" s="1117"/>
      <c r="S50" s="1117"/>
      <c r="U50" s="1128"/>
      <c r="V50" s="1117"/>
    </row>
    <row r="51" spans="2:22" ht="11.25" customHeight="1">
      <c r="B51" s="1084">
        <v>45239</v>
      </c>
      <c r="C51" s="1085"/>
      <c r="D51" s="1053" t="s">
        <v>1656</v>
      </c>
      <c r="E51" s="1086" t="s">
        <v>147</v>
      </c>
      <c r="F51" s="1086">
        <v>7.58</v>
      </c>
      <c r="G51" s="1154">
        <v>9.8000000000000007</v>
      </c>
      <c r="H51" s="1154">
        <v>52.5</v>
      </c>
      <c r="I51" s="1089">
        <v>45657</v>
      </c>
      <c r="J51" s="1087" t="s">
        <v>47</v>
      </c>
      <c r="K51" s="1155">
        <v>1.113</v>
      </c>
      <c r="L51" s="1091" t="s">
        <v>1518</v>
      </c>
      <c r="M51" s="1142"/>
      <c r="N51" s="1135"/>
      <c r="O51" s="1117"/>
      <c r="P51" s="1135"/>
      <c r="Q51" s="1093"/>
      <c r="R51" s="1117"/>
      <c r="S51" s="1117"/>
      <c r="U51" s="1128"/>
      <c r="V51" s="1117"/>
    </row>
    <row r="52" spans="2:22" ht="11.25" customHeight="1">
      <c r="B52" s="1084">
        <v>45239</v>
      </c>
      <c r="C52" s="1085"/>
      <c r="D52" s="1053" t="s">
        <v>1831</v>
      </c>
      <c r="E52" s="1086" t="s">
        <v>147</v>
      </c>
      <c r="F52" s="1086">
        <v>7.54</v>
      </c>
      <c r="G52" s="1154">
        <v>9.8000000000000007</v>
      </c>
      <c r="H52" s="1154">
        <v>53.7</v>
      </c>
      <c r="I52" s="1089">
        <v>46022</v>
      </c>
      <c r="J52" s="1087" t="s">
        <v>47</v>
      </c>
      <c r="K52" s="1155">
        <v>109.108</v>
      </c>
      <c r="L52" s="1091" t="s">
        <v>1624</v>
      </c>
      <c r="M52" s="1142"/>
      <c r="N52" s="1135"/>
      <c r="O52" s="1117"/>
      <c r="P52" s="1135"/>
      <c r="Q52" s="1093"/>
      <c r="R52" s="1117"/>
      <c r="S52" s="1117"/>
      <c r="U52" s="1128"/>
      <c r="V52" s="1117"/>
    </row>
    <row r="53" spans="2:22" ht="11.25" customHeight="1">
      <c r="B53" s="1084">
        <v>45246</v>
      </c>
      <c r="C53" s="1085"/>
      <c r="D53" s="1053" t="s">
        <v>1711</v>
      </c>
      <c r="E53" s="1086" t="s">
        <v>228</v>
      </c>
      <c r="F53" s="1087" t="s">
        <v>1806</v>
      </c>
      <c r="G53" s="1088" t="s">
        <v>1806</v>
      </c>
      <c r="H53" s="1088" t="s">
        <v>1806</v>
      </c>
      <c r="I53" s="1114">
        <v>45291</v>
      </c>
      <c r="J53" s="1087" t="s">
        <v>47</v>
      </c>
      <c r="K53" s="1155">
        <v>1104</v>
      </c>
      <c r="L53" s="1091" t="s">
        <v>1624</v>
      </c>
      <c r="M53" s="1142"/>
      <c r="N53" s="1135"/>
      <c r="O53" s="1117"/>
      <c r="P53" s="1135"/>
      <c r="Q53" s="1093"/>
      <c r="R53" s="1117"/>
      <c r="S53" s="1117"/>
      <c r="U53" s="1128"/>
      <c r="V53" s="1117"/>
    </row>
    <row r="54" spans="2:22" ht="11.25" customHeight="1">
      <c r="B54" s="1084">
        <v>45247</v>
      </c>
      <c r="C54" s="1085"/>
      <c r="D54" s="1053" t="s">
        <v>217</v>
      </c>
      <c r="E54" s="1086" t="s">
        <v>176</v>
      </c>
      <c r="F54" s="1086">
        <v>6.58</v>
      </c>
      <c r="G54" s="1154">
        <v>9.6</v>
      </c>
      <c r="H54" s="1154">
        <v>50.2</v>
      </c>
      <c r="I54" s="1089">
        <v>45107</v>
      </c>
      <c r="J54" s="1087" t="s">
        <v>1620</v>
      </c>
      <c r="K54" s="1155">
        <v>45</v>
      </c>
      <c r="L54" s="1091" t="s">
        <v>1643</v>
      </c>
      <c r="M54" s="1142"/>
      <c r="N54" s="1135"/>
      <c r="O54" s="1117"/>
      <c r="P54" s="1135"/>
      <c r="Q54" s="1093"/>
      <c r="R54" s="1117"/>
      <c r="S54" s="1117"/>
      <c r="U54" s="1128"/>
      <c r="V54" s="1117"/>
    </row>
    <row r="55" spans="2:22" ht="11.25" customHeight="1">
      <c r="B55" s="1084">
        <v>45251</v>
      </c>
      <c r="C55" s="1085"/>
      <c r="D55" s="1053" t="s">
        <v>1832</v>
      </c>
      <c r="E55" s="1086" t="s">
        <v>200</v>
      </c>
      <c r="F55" s="1087" t="s">
        <v>1806</v>
      </c>
      <c r="G55" s="1088" t="s">
        <v>1806</v>
      </c>
      <c r="H55" s="1088" t="s">
        <v>1806</v>
      </c>
      <c r="I55" s="1089">
        <v>44834</v>
      </c>
      <c r="J55" s="1087" t="s">
        <v>1806</v>
      </c>
      <c r="K55" s="1155">
        <v>148.80000000000001</v>
      </c>
      <c r="L55" s="1091" t="s">
        <v>1290</v>
      </c>
      <c r="M55" s="1142"/>
      <c r="N55" s="1135"/>
      <c r="O55" s="1117"/>
      <c r="P55" s="1135"/>
      <c r="Q55" s="1093"/>
      <c r="R55" s="1117"/>
      <c r="S55" s="1117"/>
      <c r="U55" s="1128"/>
      <c r="V55" s="1117"/>
    </row>
    <row r="56" spans="2:22" ht="11.25" customHeight="1">
      <c r="B56" s="1084">
        <v>45251</v>
      </c>
      <c r="C56" s="1085"/>
      <c r="D56" s="1053" t="s">
        <v>1833</v>
      </c>
      <c r="E56" s="1086" t="s">
        <v>200</v>
      </c>
      <c r="F56" s="1087" t="s">
        <v>1806</v>
      </c>
      <c r="G56" s="1088" t="s">
        <v>1806</v>
      </c>
      <c r="H56" s="1088" t="s">
        <v>1806</v>
      </c>
      <c r="I56" s="1089">
        <v>45199</v>
      </c>
      <c r="J56" s="1087" t="s">
        <v>1806</v>
      </c>
      <c r="K56" s="1155">
        <v>-22</v>
      </c>
      <c r="L56" s="1091" t="s">
        <v>1290</v>
      </c>
      <c r="M56" s="1142"/>
      <c r="N56" s="1135"/>
      <c r="O56" s="1117"/>
      <c r="P56" s="1135"/>
      <c r="Q56" s="1093"/>
      <c r="R56" s="1117"/>
      <c r="S56" s="1117"/>
      <c r="U56" s="1128"/>
      <c r="V56" s="1117"/>
    </row>
    <row r="57" spans="2:22" ht="11.25" customHeight="1">
      <c r="B57" s="1084">
        <v>45258</v>
      </c>
      <c r="C57" s="1085"/>
      <c r="D57" s="1053" t="s">
        <v>1629</v>
      </c>
      <c r="E57" s="1086" t="s">
        <v>1199</v>
      </c>
      <c r="F57" s="1087">
        <v>7.13</v>
      </c>
      <c r="G57" s="1088">
        <v>9.35</v>
      </c>
      <c r="H57" s="1088">
        <v>48.99</v>
      </c>
      <c r="I57" s="1089">
        <v>45657</v>
      </c>
      <c r="J57" s="1087" t="s">
        <v>47</v>
      </c>
      <c r="K57" s="1155">
        <v>53.931311999999998</v>
      </c>
      <c r="L57" s="1091" t="s">
        <v>1518</v>
      </c>
      <c r="M57" s="1142"/>
      <c r="N57" s="1135"/>
      <c r="O57" s="1117"/>
      <c r="P57" s="1135"/>
      <c r="Q57" s="1093"/>
      <c r="R57" s="1117"/>
      <c r="S57" s="1117"/>
      <c r="U57" s="1128"/>
      <c r="V57" s="1117"/>
    </row>
    <row r="58" spans="2:22" ht="11.25" customHeight="1">
      <c r="B58" s="1084">
        <v>45260</v>
      </c>
      <c r="C58" s="1085"/>
      <c r="D58" s="1053" t="s">
        <v>170</v>
      </c>
      <c r="E58" s="1086" t="s">
        <v>171</v>
      </c>
      <c r="F58" s="1087" t="s">
        <v>1806</v>
      </c>
      <c r="G58" s="1088" t="s">
        <v>1806</v>
      </c>
      <c r="H58" s="1088" t="s">
        <v>1806</v>
      </c>
      <c r="I58" s="1089">
        <v>44926</v>
      </c>
      <c r="J58" s="1087" t="s">
        <v>1806</v>
      </c>
      <c r="K58" s="1155">
        <v>127.300105</v>
      </c>
      <c r="L58" s="1091" t="s">
        <v>1290</v>
      </c>
      <c r="M58" s="1142"/>
      <c r="N58" s="1135"/>
      <c r="O58" s="1117"/>
      <c r="P58" s="1135"/>
      <c r="Q58" s="1093"/>
      <c r="R58" s="1117"/>
      <c r="S58" s="1117"/>
      <c r="U58" s="1128"/>
      <c r="V58" s="1117"/>
    </row>
    <row r="59" spans="2:22" ht="11.25" customHeight="1">
      <c r="B59" s="1084">
        <v>45261</v>
      </c>
      <c r="C59" s="1085"/>
      <c r="D59" s="1053" t="s">
        <v>180</v>
      </c>
      <c r="E59" s="1086" t="s">
        <v>161</v>
      </c>
      <c r="F59" s="1087">
        <v>5.56</v>
      </c>
      <c r="G59" s="1088">
        <v>9.9</v>
      </c>
      <c r="H59" s="1088" t="s">
        <v>1806</v>
      </c>
      <c r="I59" s="1089">
        <v>45626</v>
      </c>
      <c r="J59" s="1087" t="s">
        <v>47</v>
      </c>
      <c r="K59" s="1155">
        <v>368.11500000000001</v>
      </c>
      <c r="L59" s="1091" t="s">
        <v>1518</v>
      </c>
      <c r="M59" s="1142"/>
      <c r="N59" s="1135"/>
      <c r="O59" s="1117"/>
      <c r="P59" s="1135"/>
      <c r="Q59" s="1093"/>
      <c r="R59" s="1117"/>
      <c r="S59" s="1117"/>
      <c r="U59" s="1128"/>
      <c r="V59" s="1117"/>
    </row>
    <row r="60" spans="2:22" s="1406" customFormat="1" ht="11.25" customHeight="1">
      <c r="B60" s="1404">
        <v>45264</v>
      </c>
      <c r="C60" s="1405"/>
      <c r="D60" s="1406" t="s">
        <v>192</v>
      </c>
      <c r="E60" s="1406" t="s">
        <v>155</v>
      </c>
      <c r="F60" s="1407">
        <v>5.62</v>
      </c>
      <c r="G60" s="1408" t="s">
        <v>1806</v>
      </c>
      <c r="H60" s="1408">
        <v>38.65</v>
      </c>
      <c r="I60" s="1409">
        <v>45657</v>
      </c>
      <c r="J60" s="1407" t="s">
        <v>47</v>
      </c>
      <c r="K60" s="1417">
        <v>87.715931999999995</v>
      </c>
      <c r="L60" s="1411" t="s">
        <v>1811</v>
      </c>
      <c r="M60" s="1412"/>
      <c r="N60" s="1418"/>
      <c r="O60" s="1419"/>
      <c r="P60" s="1418"/>
      <c r="Q60" s="1417"/>
      <c r="R60" s="1419"/>
      <c r="S60" s="1419"/>
      <c r="U60" s="1420"/>
      <c r="V60" s="1419"/>
    </row>
    <row r="61" spans="2:22" ht="11.25" customHeight="1">
      <c r="B61" s="1084">
        <v>45267</v>
      </c>
      <c r="C61" s="1085"/>
      <c r="D61" s="1053" t="s">
        <v>1834</v>
      </c>
      <c r="E61" s="1086" t="s">
        <v>155</v>
      </c>
      <c r="F61" s="1087">
        <v>5.08</v>
      </c>
      <c r="G61" s="1088">
        <v>9.6999999999999993</v>
      </c>
      <c r="H61" s="1088" t="s">
        <v>1806</v>
      </c>
      <c r="I61" s="1089">
        <v>45016</v>
      </c>
      <c r="J61" s="1087" t="s">
        <v>1620</v>
      </c>
      <c r="K61" s="1155">
        <v>5.2860269999999998</v>
      </c>
      <c r="L61" s="1091" t="s">
        <v>1627</v>
      </c>
      <c r="M61" s="1142"/>
      <c r="N61" s="1135"/>
      <c r="O61" s="1117"/>
      <c r="P61" s="1135"/>
      <c r="Q61" s="1093"/>
      <c r="R61" s="1117"/>
      <c r="S61" s="1117"/>
      <c r="U61" s="1128"/>
      <c r="V61" s="1117"/>
    </row>
    <row r="62" spans="2:22" ht="11.25" customHeight="1">
      <c r="B62" s="1084">
        <v>45274</v>
      </c>
      <c r="C62" s="1085"/>
      <c r="D62" s="1053" t="s">
        <v>148</v>
      </c>
      <c r="E62" s="1086" t="s">
        <v>149</v>
      </c>
      <c r="F62" s="1087">
        <v>6.59</v>
      </c>
      <c r="G62" s="1088">
        <v>8.7200000000000006</v>
      </c>
      <c r="H62" s="1088">
        <v>50</v>
      </c>
      <c r="I62" s="1089">
        <v>46752</v>
      </c>
      <c r="J62" s="1087" t="s">
        <v>47</v>
      </c>
      <c r="K62" s="1155">
        <v>142.5</v>
      </c>
      <c r="L62" s="1091" t="s">
        <v>1695</v>
      </c>
      <c r="M62" s="1142"/>
      <c r="N62" s="1135"/>
      <c r="O62" s="1117"/>
      <c r="P62" s="1135"/>
      <c r="Q62" s="1093"/>
      <c r="R62" s="1117"/>
      <c r="S62" s="1117"/>
      <c r="U62" s="1128"/>
      <c r="V62" s="1117"/>
    </row>
    <row r="63" spans="2:22" ht="11.25" customHeight="1">
      <c r="B63" s="1084">
        <v>45274</v>
      </c>
      <c r="C63" s="1085"/>
      <c r="D63" s="1053" t="s">
        <v>1835</v>
      </c>
      <c r="E63" s="1086" t="s">
        <v>216</v>
      </c>
      <c r="F63" s="1087">
        <v>6.77</v>
      </c>
      <c r="G63" s="1088">
        <v>9.5</v>
      </c>
      <c r="H63" s="1088">
        <v>52</v>
      </c>
      <c r="I63" s="1089">
        <v>46379</v>
      </c>
      <c r="J63" s="1087" t="s">
        <v>47</v>
      </c>
      <c r="K63" s="1155">
        <v>179.08500000000001</v>
      </c>
      <c r="L63" s="1091" t="s">
        <v>1695</v>
      </c>
      <c r="M63" s="1142"/>
      <c r="N63" s="1135"/>
      <c r="O63" s="1117"/>
      <c r="P63" s="1135"/>
      <c r="Q63" s="1093"/>
      <c r="R63" s="1117"/>
      <c r="S63" s="1117"/>
      <c r="U63" s="1128"/>
      <c r="V63" s="1117"/>
    </row>
    <row r="64" spans="2:22" ht="11.25" customHeight="1">
      <c r="B64" s="1084">
        <v>45274</v>
      </c>
      <c r="C64" s="1085"/>
      <c r="D64" s="1053" t="s">
        <v>215</v>
      </c>
      <c r="E64" s="1053" t="s">
        <v>149</v>
      </c>
      <c r="F64" s="1095">
        <v>6.7</v>
      </c>
      <c r="G64" s="1095">
        <v>8.91</v>
      </c>
      <c r="H64" s="1095">
        <v>50</v>
      </c>
      <c r="I64" s="1138">
        <v>46752</v>
      </c>
      <c r="J64" s="1051" t="s">
        <v>47</v>
      </c>
      <c r="K64" s="1093">
        <v>506.1</v>
      </c>
      <c r="L64" s="1096" t="s">
        <v>1695</v>
      </c>
      <c r="N64" s="1135"/>
      <c r="O64" s="1117"/>
      <c r="P64" s="1135"/>
      <c r="Q64" s="1093"/>
      <c r="R64" s="1117"/>
      <c r="S64" s="1117"/>
      <c r="U64" s="1128"/>
      <c r="V64" s="1117"/>
    </row>
    <row r="65" spans="1:23" ht="11.25" customHeight="1">
      <c r="B65" s="1084">
        <v>45274</v>
      </c>
      <c r="C65" s="1085"/>
      <c r="D65" s="1053" t="s">
        <v>1629</v>
      </c>
      <c r="E65" s="1086" t="s">
        <v>228</v>
      </c>
      <c r="F65" s="1087">
        <v>7.34</v>
      </c>
      <c r="G65" s="1088">
        <v>10</v>
      </c>
      <c r="H65" s="1088">
        <v>52.25</v>
      </c>
      <c r="I65" s="1089">
        <v>45291</v>
      </c>
      <c r="J65" s="1087" t="s">
        <v>47</v>
      </c>
      <c r="K65" s="1155">
        <v>18.989000000000001</v>
      </c>
      <c r="L65" s="1091" t="s">
        <v>1518</v>
      </c>
      <c r="M65" s="1142"/>
      <c r="N65" s="1135"/>
      <c r="O65" s="1117"/>
      <c r="P65" s="1135"/>
      <c r="Q65" s="1093"/>
      <c r="R65" s="1117"/>
      <c r="S65" s="1117"/>
      <c r="U65" s="1128"/>
      <c r="V65" s="1117"/>
    </row>
    <row r="66" spans="1:23" ht="11.25" customHeight="1">
      <c r="B66" s="1084">
        <v>45275</v>
      </c>
      <c r="C66" s="1085"/>
      <c r="D66" s="1053" t="s">
        <v>186</v>
      </c>
      <c r="E66" s="1086" t="s">
        <v>187</v>
      </c>
      <c r="F66" s="1087">
        <v>7.5</v>
      </c>
      <c r="G66" s="1088">
        <v>10.1</v>
      </c>
      <c r="H66" s="1088">
        <v>53</v>
      </c>
      <c r="I66" s="1089">
        <v>44561</v>
      </c>
      <c r="J66" s="1087" t="s">
        <v>1620</v>
      </c>
      <c r="K66" s="1155">
        <v>436</v>
      </c>
      <c r="L66" s="1091" t="s">
        <v>1817</v>
      </c>
      <c r="M66" s="1142"/>
      <c r="N66" s="1135"/>
      <c r="O66" s="1117"/>
      <c r="P66" s="1135"/>
      <c r="Q66" s="1093"/>
      <c r="R66" s="1117"/>
      <c r="S66" s="1117"/>
      <c r="U66" s="1128"/>
      <c r="V66" s="1117"/>
    </row>
    <row r="67" spans="1:23" ht="11.25" customHeight="1">
      <c r="B67" s="1084">
        <v>45278</v>
      </c>
      <c r="C67" s="1085"/>
      <c r="D67" s="1053" t="s">
        <v>1406</v>
      </c>
      <c r="E67" s="1086" t="s">
        <v>223</v>
      </c>
      <c r="F67" s="1087">
        <v>6.99</v>
      </c>
      <c r="G67" s="1088">
        <v>9.5</v>
      </c>
      <c r="H67" s="1088">
        <v>50</v>
      </c>
      <c r="I67" s="1089">
        <v>45657</v>
      </c>
      <c r="J67" s="1087" t="s">
        <v>1620</v>
      </c>
      <c r="K67" s="1155">
        <v>385.88520199999999</v>
      </c>
      <c r="L67" s="1091" t="s">
        <v>1290</v>
      </c>
      <c r="M67" s="1142"/>
      <c r="N67" s="1135"/>
      <c r="O67" s="1117"/>
      <c r="P67" s="1135"/>
      <c r="Q67" s="1093"/>
      <c r="R67" s="1117"/>
      <c r="S67" s="1117"/>
      <c r="U67" s="1128"/>
      <c r="V67" s="1117"/>
    </row>
    <row r="68" spans="1:23" ht="11.25" customHeight="1">
      <c r="B68" s="1084">
        <v>45282</v>
      </c>
      <c r="C68" s="1085"/>
      <c r="D68" s="1053" t="s">
        <v>1711</v>
      </c>
      <c r="E68" s="1086" t="s">
        <v>228</v>
      </c>
      <c r="F68" s="1087">
        <v>7.8</v>
      </c>
      <c r="G68" s="1088">
        <v>10.7</v>
      </c>
      <c r="H68" s="1088">
        <v>52</v>
      </c>
      <c r="I68" s="1114" t="s">
        <v>1806</v>
      </c>
      <c r="J68" s="1087" t="s">
        <v>1806</v>
      </c>
      <c r="K68" s="1155">
        <v>158</v>
      </c>
      <c r="L68" s="1142">
        <v>27</v>
      </c>
      <c r="M68" s="1142"/>
      <c r="N68" s="1135"/>
      <c r="O68" s="1135"/>
      <c r="P68" s="1135"/>
      <c r="Q68" s="1135"/>
      <c r="R68" s="1117"/>
      <c r="S68" s="1117"/>
      <c r="U68" s="1128"/>
      <c r="V68" s="1117"/>
    </row>
    <row r="69" spans="1:23" ht="11.25" customHeight="1">
      <c r="B69" s="1084">
        <v>45282</v>
      </c>
      <c r="C69" s="1085"/>
      <c r="D69" s="1053" t="s">
        <v>227</v>
      </c>
      <c r="E69" s="1086" t="s">
        <v>228</v>
      </c>
      <c r="F69" s="1087">
        <v>7.67</v>
      </c>
      <c r="G69" s="1088">
        <v>10.65</v>
      </c>
      <c r="H69" s="1088">
        <v>52</v>
      </c>
      <c r="I69" s="1114" t="s">
        <v>1806</v>
      </c>
      <c r="J69" s="1087" t="s">
        <v>1806</v>
      </c>
      <c r="K69" s="1155">
        <v>44.3</v>
      </c>
      <c r="L69" s="1142">
        <v>27</v>
      </c>
      <c r="M69" s="1142"/>
      <c r="N69" s="1135"/>
      <c r="O69" s="1135"/>
      <c r="P69" s="1135"/>
      <c r="Q69" s="1135"/>
      <c r="R69" s="1117"/>
      <c r="S69" s="1117"/>
      <c r="U69" s="1128"/>
      <c r="V69" s="1117"/>
    </row>
    <row r="70" spans="1:23" ht="11.25" customHeight="1">
      <c r="B70" s="1084">
        <v>45282</v>
      </c>
      <c r="C70" s="1085"/>
      <c r="D70" s="1053" t="s">
        <v>1570</v>
      </c>
      <c r="E70" s="1086" t="s">
        <v>228</v>
      </c>
      <c r="F70" s="1087">
        <v>7.87</v>
      </c>
      <c r="G70" s="1088">
        <v>10.75</v>
      </c>
      <c r="H70" s="1088">
        <v>52</v>
      </c>
      <c r="I70" s="1114" t="s">
        <v>1806</v>
      </c>
      <c r="J70" s="1087" t="s">
        <v>1806</v>
      </c>
      <c r="K70" s="1155">
        <v>200.702</v>
      </c>
      <c r="L70" s="1142">
        <v>27</v>
      </c>
      <c r="M70" s="1142"/>
      <c r="N70" s="1135"/>
      <c r="O70" s="1135"/>
      <c r="P70" s="1135"/>
      <c r="Q70" s="1135"/>
      <c r="R70" s="1117"/>
      <c r="S70" s="1117"/>
      <c r="U70" s="1128"/>
      <c r="V70" s="1117"/>
    </row>
    <row r="71" spans="1:23" ht="11.25" customHeight="1">
      <c r="B71" s="1084">
        <v>45286</v>
      </c>
      <c r="C71" s="1085"/>
      <c r="D71" s="1053" t="s">
        <v>1836</v>
      </c>
      <c r="E71" s="1086" t="s">
        <v>1704</v>
      </c>
      <c r="F71" s="1087">
        <v>7.44</v>
      </c>
      <c r="G71" s="1088">
        <v>9.52</v>
      </c>
      <c r="H71" s="1088">
        <v>52.72</v>
      </c>
      <c r="I71" s="1114">
        <v>44926</v>
      </c>
      <c r="J71" s="1087" t="s">
        <v>1620</v>
      </c>
      <c r="K71" s="1155">
        <v>37.078000000000003</v>
      </c>
      <c r="L71" s="1142">
        <v>28</v>
      </c>
      <c r="M71" s="1142"/>
      <c r="N71" s="1086"/>
      <c r="O71" s="1117"/>
      <c r="P71" s="1135"/>
      <c r="Q71" s="1156"/>
      <c r="R71" s="1117"/>
      <c r="S71" s="1117"/>
      <c r="U71" s="1128"/>
      <c r="V71" s="1117"/>
    </row>
    <row r="72" spans="1:23" ht="11.25" customHeight="1">
      <c r="B72" s="1084">
        <v>45286</v>
      </c>
      <c r="C72" s="1085"/>
      <c r="D72" s="1053" t="s">
        <v>207</v>
      </c>
      <c r="E72" s="1086" t="s">
        <v>208</v>
      </c>
      <c r="F72" s="1087" t="s">
        <v>1806</v>
      </c>
      <c r="G72" s="1088" t="s">
        <v>1806</v>
      </c>
      <c r="H72" s="1088" t="s">
        <v>1806</v>
      </c>
      <c r="I72" s="1114" t="s">
        <v>1806</v>
      </c>
      <c r="J72" s="1087" t="s">
        <v>1806</v>
      </c>
      <c r="K72" s="1155">
        <v>104.90911600000001</v>
      </c>
      <c r="L72" s="1091" t="s">
        <v>1825</v>
      </c>
      <c r="M72" s="1142"/>
      <c r="N72" s="1086"/>
      <c r="O72" s="1117"/>
      <c r="P72" s="1135"/>
      <c r="Q72" s="1135"/>
      <c r="R72" s="1117"/>
      <c r="S72" s="1117"/>
      <c r="U72" s="1128"/>
      <c r="V72" s="1117"/>
    </row>
    <row r="73" spans="1:23" ht="11.25" customHeight="1">
      <c r="B73" s="1084">
        <v>45288</v>
      </c>
      <c r="C73" s="1085"/>
      <c r="D73" s="1053" t="s">
        <v>221</v>
      </c>
      <c r="E73" s="1086" t="s">
        <v>222</v>
      </c>
      <c r="F73" s="1086">
        <v>7.25</v>
      </c>
      <c r="G73" s="1154">
        <v>9.6</v>
      </c>
      <c r="H73" s="1088" t="s">
        <v>1806</v>
      </c>
      <c r="I73" s="1089">
        <v>45291</v>
      </c>
      <c r="J73" s="1087" t="s">
        <v>47</v>
      </c>
      <c r="K73" s="1155">
        <v>54.7</v>
      </c>
      <c r="L73" s="1091" t="s">
        <v>1290</v>
      </c>
      <c r="M73" s="1142"/>
      <c r="N73" s="1135"/>
      <c r="O73" s="1117"/>
      <c r="P73" s="1135"/>
      <c r="Q73" s="1128"/>
      <c r="R73" s="1117"/>
      <c r="S73" s="1117"/>
      <c r="U73" s="1128"/>
      <c r="V73" s="1117"/>
    </row>
    <row r="74" spans="1:23" ht="11.25" customHeight="1">
      <c r="B74" s="1130"/>
      <c r="C74" s="1120"/>
      <c r="D74" s="1157" t="s">
        <v>1773</v>
      </c>
      <c r="E74" s="1122"/>
      <c r="F74" s="1158">
        <v>6.94</v>
      </c>
      <c r="G74" s="1122">
        <v>9.66</v>
      </c>
      <c r="H74" s="1122">
        <v>51.01</v>
      </c>
      <c r="I74" s="1122"/>
      <c r="J74" s="1122"/>
      <c r="K74" s="1159">
        <v>5861.725688999999</v>
      </c>
      <c r="L74" s="1160"/>
      <c r="M74" s="1142"/>
      <c r="N74" s="1135"/>
      <c r="O74" s="1117"/>
      <c r="P74" s="1135"/>
      <c r="Q74" s="1128"/>
      <c r="R74" s="1117"/>
      <c r="S74" s="1117"/>
      <c r="U74" s="1128"/>
      <c r="V74" s="1117"/>
    </row>
    <row r="75" spans="1:23" ht="11.25" customHeight="1">
      <c r="B75" s="1130"/>
      <c r="C75" s="1120"/>
      <c r="D75" s="1157" t="s">
        <v>324</v>
      </c>
      <c r="E75" s="1122"/>
      <c r="F75" s="1158">
        <v>27</v>
      </c>
      <c r="G75" s="1122">
        <v>26</v>
      </c>
      <c r="H75" s="1122">
        <v>24</v>
      </c>
      <c r="I75" s="1122"/>
      <c r="J75" s="1122"/>
      <c r="K75" s="1161">
        <v>37</v>
      </c>
      <c r="L75" s="1160"/>
      <c r="M75" s="1142"/>
      <c r="N75" s="1135"/>
      <c r="O75" s="1117"/>
      <c r="P75" s="1135"/>
      <c r="Q75" s="1128"/>
      <c r="R75" s="1117"/>
      <c r="S75" s="1117"/>
      <c r="U75" s="1128"/>
      <c r="V75" s="1117"/>
    </row>
    <row r="76" spans="1:23" ht="11.25" customHeight="1">
      <c r="A76" s="1122"/>
      <c r="B76" s="1162" t="s">
        <v>1837</v>
      </c>
      <c r="C76" s="1120"/>
      <c r="D76" s="1157" t="s">
        <v>1774</v>
      </c>
      <c r="E76" s="1122"/>
      <c r="F76" s="1163">
        <v>6.92</v>
      </c>
      <c r="G76" s="1123">
        <v>9.6</v>
      </c>
      <c r="H76" s="1123">
        <v>51.15</v>
      </c>
      <c r="I76" s="1122"/>
      <c r="J76" s="1122"/>
      <c r="K76" s="1164">
        <v>9333.1737489999996</v>
      </c>
      <c r="L76" s="1165"/>
      <c r="M76" s="1087"/>
      <c r="N76" s="1135"/>
      <c r="O76" s="1117"/>
      <c r="P76" s="1135"/>
      <c r="Q76" s="1128"/>
      <c r="R76" s="1117"/>
      <c r="S76" s="1117"/>
      <c r="U76" s="1128"/>
      <c r="V76" s="1117"/>
    </row>
    <row r="77" spans="1:23" ht="11.25" customHeight="1">
      <c r="B77" s="1130"/>
      <c r="C77" s="1120"/>
      <c r="D77" s="1157" t="s">
        <v>324</v>
      </c>
      <c r="E77" s="1122"/>
      <c r="F77" s="1166">
        <v>62</v>
      </c>
      <c r="G77" s="1122">
        <v>63</v>
      </c>
      <c r="H77" s="1143">
        <v>59</v>
      </c>
      <c r="I77" s="1122"/>
      <c r="J77" s="1122"/>
      <c r="K77" s="1167">
        <v>90</v>
      </c>
      <c r="L77" s="1168"/>
      <c r="N77" s="1135"/>
      <c r="O77" s="1117"/>
      <c r="P77" s="1135"/>
      <c r="Q77" s="1128"/>
      <c r="R77" s="1117"/>
      <c r="S77" s="1117"/>
      <c r="U77" s="1128"/>
      <c r="V77" s="1117"/>
    </row>
    <row r="78" spans="1:23" s="1053" customFormat="1" ht="11.25" customHeight="1">
      <c r="A78" s="1086"/>
      <c r="B78" s="1130"/>
      <c r="C78" s="1120"/>
      <c r="D78" s="1121"/>
      <c r="E78" s="1122"/>
      <c r="F78" s="1131"/>
      <c r="G78" s="1131"/>
      <c r="H78" s="1131"/>
      <c r="I78" s="1123"/>
      <c r="J78" s="1133"/>
      <c r="K78" s="1131"/>
      <c r="L78" s="1126"/>
      <c r="M78" s="1054"/>
      <c r="N78" s="1117"/>
      <c r="O78" s="1117"/>
      <c r="P78" s="1135"/>
      <c r="Q78" s="1128"/>
      <c r="R78" s="1117"/>
      <c r="S78" s="1117"/>
      <c r="V78" s="1052"/>
    </row>
    <row r="79" spans="1:23" s="1169" customFormat="1" ht="11.5">
      <c r="B79" s="1170" t="s">
        <v>1651</v>
      </c>
      <c r="C79" s="1171"/>
      <c r="D79" s="1172"/>
      <c r="E79" s="1173"/>
      <c r="F79" s="1174"/>
      <c r="G79" s="1174"/>
      <c r="H79" s="1175"/>
      <c r="I79" s="1176"/>
      <c r="J79" s="1177"/>
      <c r="K79" s="1178"/>
      <c r="L79" s="1179"/>
      <c r="M79" s="1180"/>
      <c r="N79" s="1181"/>
      <c r="O79" s="1181"/>
      <c r="P79" s="1182"/>
      <c r="Q79" s="1181"/>
      <c r="R79" s="1181"/>
      <c r="S79" s="1181"/>
      <c r="T79" s="1183"/>
      <c r="U79" s="1183"/>
      <c r="V79" s="1183"/>
      <c r="W79" s="1183"/>
    </row>
    <row r="80" spans="1:23" s="1184" customFormat="1" ht="21">
      <c r="B80" s="1185" t="s">
        <v>514</v>
      </c>
      <c r="C80" s="1186"/>
      <c r="D80" s="1187" t="s">
        <v>78</v>
      </c>
      <c r="E80" s="1187" t="s">
        <v>141</v>
      </c>
      <c r="F80" s="1188" t="s">
        <v>1612</v>
      </c>
      <c r="G80" s="1188" t="s">
        <v>1613</v>
      </c>
      <c r="H80" s="1189" t="s">
        <v>1683</v>
      </c>
      <c r="I80" s="1190" t="s">
        <v>1653</v>
      </c>
      <c r="J80" s="1190" t="s">
        <v>1805</v>
      </c>
      <c r="K80" s="1191" t="s">
        <v>1617</v>
      </c>
      <c r="L80" s="1192" t="s">
        <v>1618</v>
      </c>
      <c r="M80" s="1193"/>
      <c r="N80" s="1194"/>
      <c r="O80" s="1194"/>
      <c r="P80" s="1195"/>
      <c r="Q80" s="1194"/>
      <c r="R80" s="1194"/>
      <c r="S80" s="1194"/>
      <c r="T80" s="1196"/>
      <c r="U80" s="1196"/>
      <c r="V80" s="1196"/>
      <c r="W80" s="1196"/>
    </row>
    <row r="81" spans="1:43" s="1197" customFormat="1" ht="12.5">
      <c r="B81" s="1198">
        <v>44945</v>
      </c>
      <c r="C81" s="1199"/>
      <c r="D81" s="1200" t="s">
        <v>1726</v>
      </c>
      <c r="E81" s="1200" t="s">
        <v>169</v>
      </c>
      <c r="F81" s="1201">
        <v>7.38</v>
      </c>
      <c r="G81" s="1202">
        <v>9.6</v>
      </c>
      <c r="H81" s="1202">
        <v>59.74</v>
      </c>
      <c r="I81" s="1203">
        <v>44561</v>
      </c>
      <c r="J81" s="1201" t="s">
        <v>1620</v>
      </c>
      <c r="K81" s="1204">
        <v>8.826587</v>
      </c>
      <c r="L81" s="1204" t="s">
        <v>1518</v>
      </c>
      <c r="M81" s="1205"/>
      <c r="N81" s="1206"/>
      <c r="O81" s="1201"/>
      <c r="P81" s="1202"/>
      <c r="Q81" s="1207"/>
      <c r="R81" s="1208"/>
      <c r="S81" s="1209"/>
      <c r="V81" s="1210"/>
    </row>
    <row r="82" spans="1:43" s="1200" customFormat="1" ht="11.25" customHeight="1">
      <c r="B82" s="1198">
        <v>44949</v>
      </c>
      <c r="C82" s="1199"/>
      <c r="D82" s="1200" t="s">
        <v>1661</v>
      </c>
      <c r="E82" s="1200" t="s">
        <v>1401</v>
      </c>
      <c r="F82" s="1201">
        <v>6.73</v>
      </c>
      <c r="G82" s="1202">
        <v>9.3000000000000007</v>
      </c>
      <c r="H82" s="1202">
        <v>50</v>
      </c>
      <c r="I82" s="1211">
        <v>44439</v>
      </c>
      <c r="J82" s="1201" t="s">
        <v>1620</v>
      </c>
      <c r="K82" s="1204">
        <v>54.283434999999997</v>
      </c>
      <c r="L82" s="1204" t="s">
        <v>1290</v>
      </c>
      <c r="M82" s="1205"/>
      <c r="N82" s="1206"/>
      <c r="O82" s="1201"/>
      <c r="P82" s="1202"/>
      <c r="Q82" s="1207"/>
      <c r="R82" s="1208"/>
      <c r="S82" s="1212"/>
      <c r="T82" s="1212"/>
      <c r="U82" s="1197"/>
      <c r="V82" s="1210"/>
      <c r="W82" s="1197"/>
      <c r="X82" s="1197"/>
      <c r="Y82" s="1197"/>
      <c r="Z82" s="1197"/>
      <c r="AA82" s="1197"/>
      <c r="AB82" s="1197"/>
      <c r="AC82" s="1197"/>
      <c r="AD82" s="1197"/>
      <c r="AE82" s="1197"/>
      <c r="AF82" s="1197"/>
      <c r="AG82" s="1197"/>
      <c r="AH82" s="1197"/>
      <c r="AI82" s="1197"/>
      <c r="AJ82" s="1197"/>
      <c r="AK82" s="1197"/>
      <c r="AL82" s="1197"/>
      <c r="AM82" s="1197"/>
      <c r="AN82" s="1197"/>
      <c r="AO82" s="1197"/>
      <c r="AP82" s="1197"/>
      <c r="AQ82" s="1197"/>
    </row>
    <row r="83" spans="1:43" s="1200" customFormat="1" ht="11.25" customHeight="1">
      <c r="B83" s="1198">
        <v>44950</v>
      </c>
      <c r="C83" s="1199"/>
      <c r="D83" s="1200" t="s">
        <v>1634</v>
      </c>
      <c r="E83" s="1200" t="s">
        <v>183</v>
      </c>
      <c r="F83" s="1201">
        <v>5.97</v>
      </c>
      <c r="G83" s="1202">
        <v>10.25</v>
      </c>
      <c r="H83" s="1202">
        <v>45.16</v>
      </c>
      <c r="I83" s="1211">
        <v>45291</v>
      </c>
      <c r="J83" s="1201" t="s">
        <v>47</v>
      </c>
      <c r="K83" s="1204">
        <v>17.153092000000001</v>
      </c>
      <c r="L83" s="1204" t="s">
        <v>1636</v>
      </c>
      <c r="M83" s="1205"/>
      <c r="N83" s="1206"/>
      <c r="O83" s="1201"/>
      <c r="P83" s="1202"/>
      <c r="Q83" s="1207"/>
      <c r="R83" s="1208"/>
      <c r="S83" s="1212"/>
      <c r="T83" s="1212"/>
      <c r="U83" s="1197"/>
      <c r="V83" s="1210"/>
      <c r="W83" s="1197"/>
      <c r="X83" s="1197"/>
      <c r="Y83" s="1197"/>
      <c r="Z83" s="1197"/>
      <c r="AA83" s="1197"/>
      <c r="AB83" s="1197"/>
      <c r="AC83" s="1197"/>
      <c r="AD83" s="1197"/>
      <c r="AE83" s="1197"/>
      <c r="AF83" s="1197"/>
      <c r="AG83" s="1197"/>
      <c r="AH83" s="1197"/>
      <c r="AI83" s="1197"/>
      <c r="AJ83" s="1197"/>
      <c r="AK83" s="1197"/>
      <c r="AL83" s="1197"/>
      <c r="AM83" s="1197"/>
      <c r="AN83" s="1197"/>
      <c r="AO83" s="1197"/>
      <c r="AP83" s="1197"/>
      <c r="AQ83" s="1197"/>
    </row>
    <row r="84" spans="1:43" s="1200" customFormat="1" ht="11.25" customHeight="1">
      <c r="B84" s="1198">
        <v>44952</v>
      </c>
      <c r="C84" s="1199"/>
      <c r="D84" s="1200" t="s">
        <v>1838</v>
      </c>
      <c r="E84" s="1200" t="s">
        <v>163</v>
      </c>
      <c r="F84" s="1201">
        <v>7.08</v>
      </c>
      <c r="G84" s="1202">
        <v>9.6</v>
      </c>
      <c r="H84" s="1202">
        <v>50.6</v>
      </c>
      <c r="I84" s="1203">
        <v>44561</v>
      </c>
      <c r="J84" s="1201" t="s">
        <v>1735</v>
      </c>
      <c r="K84" s="1204">
        <v>68.191999999999993</v>
      </c>
      <c r="L84" s="1204" t="s">
        <v>1290</v>
      </c>
      <c r="M84" s="1205"/>
      <c r="N84" s="1206"/>
      <c r="O84" s="1201"/>
      <c r="P84" s="1202"/>
      <c r="Q84" s="1207"/>
      <c r="R84" s="1208"/>
      <c r="S84" s="1212"/>
      <c r="T84" s="1212"/>
      <c r="U84" s="1197"/>
      <c r="V84" s="1210"/>
      <c r="W84" s="1197"/>
      <c r="X84" s="1197"/>
      <c r="Y84" s="1197"/>
      <c r="Z84" s="1197"/>
      <c r="AA84" s="1197"/>
      <c r="AB84" s="1197"/>
      <c r="AC84" s="1197"/>
      <c r="AD84" s="1197"/>
      <c r="AE84" s="1197"/>
      <c r="AF84" s="1197"/>
      <c r="AG84" s="1197"/>
      <c r="AH84" s="1197"/>
      <c r="AI84" s="1197"/>
      <c r="AJ84" s="1197"/>
      <c r="AK84" s="1197"/>
      <c r="AL84" s="1197"/>
      <c r="AM84" s="1197"/>
      <c r="AN84" s="1197"/>
      <c r="AO84" s="1197"/>
      <c r="AP84" s="1197"/>
      <c r="AQ84" s="1197"/>
    </row>
    <row r="85" spans="1:43" s="1200" customFormat="1" ht="11.25" customHeight="1">
      <c r="B85" s="1198">
        <v>45008</v>
      </c>
      <c r="C85" s="1199"/>
      <c r="D85" s="1200" t="s">
        <v>1656</v>
      </c>
      <c r="E85" s="1200" t="s">
        <v>142</v>
      </c>
      <c r="F85" s="1201">
        <v>6.97</v>
      </c>
      <c r="G85" s="1202">
        <v>9.57</v>
      </c>
      <c r="H85" s="1202">
        <v>52.5</v>
      </c>
      <c r="I85" s="1203">
        <v>44926</v>
      </c>
      <c r="J85" s="1201" t="s">
        <v>47</v>
      </c>
      <c r="K85" s="1204">
        <v>20.888000000000002</v>
      </c>
      <c r="L85" s="1204" t="s">
        <v>1622</v>
      </c>
      <c r="M85" s="1205"/>
      <c r="N85" s="1206"/>
      <c r="O85" s="1201"/>
      <c r="P85" s="1202"/>
      <c r="Q85" s="1207"/>
      <c r="R85" s="1208"/>
      <c r="S85" s="1212"/>
      <c r="T85" s="1212"/>
      <c r="U85" s="1197"/>
      <c r="V85" s="1210"/>
      <c r="W85" s="1197"/>
      <c r="X85" s="1197"/>
      <c r="Y85" s="1197"/>
      <c r="Z85" s="1197"/>
      <c r="AA85" s="1197"/>
      <c r="AB85" s="1197"/>
      <c r="AC85" s="1197"/>
      <c r="AD85" s="1197"/>
      <c r="AE85" s="1197"/>
      <c r="AF85" s="1197"/>
      <c r="AG85" s="1197"/>
      <c r="AH85" s="1197"/>
      <c r="AI85" s="1197"/>
      <c r="AJ85" s="1197"/>
      <c r="AK85" s="1197"/>
      <c r="AL85" s="1197"/>
      <c r="AM85" s="1197"/>
      <c r="AN85" s="1197"/>
      <c r="AO85" s="1197"/>
      <c r="AP85" s="1197"/>
      <c r="AQ85" s="1197"/>
    </row>
    <row r="86" spans="1:43" s="1200" customFormat="1" ht="11.25" customHeight="1">
      <c r="B86" s="1198">
        <v>45013</v>
      </c>
      <c r="C86" s="1199"/>
      <c r="D86" s="1200" t="s">
        <v>1839</v>
      </c>
      <c r="E86" s="1200" t="s">
        <v>183</v>
      </c>
      <c r="F86" s="1201">
        <v>6.44</v>
      </c>
      <c r="G86" s="1202">
        <v>9.5</v>
      </c>
      <c r="H86" s="1202">
        <v>59.6</v>
      </c>
      <c r="I86" s="1211">
        <v>45291</v>
      </c>
      <c r="J86" s="1201" t="s">
        <v>47</v>
      </c>
      <c r="K86" s="1204">
        <v>23.308073</v>
      </c>
      <c r="L86" s="1204" t="s">
        <v>1518</v>
      </c>
      <c r="M86" s="1205"/>
      <c r="N86" s="1206"/>
      <c r="O86" s="1201"/>
      <c r="P86" s="1202"/>
      <c r="Q86" s="1207"/>
      <c r="R86" s="1208"/>
      <c r="S86" s="1212"/>
      <c r="T86" s="1212"/>
      <c r="U86" s="1197"/>
      <c r="V86" s="1210"/>
      <c r="W86" s="1197"/>
      <c r="X86" s="1197"/>
      <c r="Y86" s="1197"/>
      <c r="Z86" s="1197"/>
      <c r="AA86" s="1197"/>
      <c r="AB86" s="1197"/>
      <c r="AC86" s="1197"/>
      <c r="AD86" s="1197"/>
      <c r="AE86" s="1197"/>
      <c r="AF86" s="1197"/>
      <c r="AG86" s="1197"/>
      <c r="AH86" s="1197"/>
      <c r="AI86" s="1197"/>
      <c r="AJ86" s="1197"/>
      <c r="AK86" s="1197"/>
      <c r="AL86" s="1197"/>
      <c r="AM86" s="1197"/>
      <c r="AN86" s="1197"/>
      <c r="AO86" s="1197"/>
      <c r="AP86" s="1197"/>
      <c r="AQ86" s="1197"/>
    </row>
    <row r="87" spans="1:43" s="1200" customFormat="1" ht="11.25" customHeight="1">
      <c r="B87" s="1198">
        <v>45013</v>
      </c>
      <c r="C87" s="1199"/>
      <c r="D87" s="1200" t="s">
        <v>1729</v>
      </c>
      <c r="E87" s="1200" t="s">
        <v>237</v>
      </c>
      <c r="F87" s="1201">
        <v>6.75</v>
      </c>
      <c r="G87" s="1202" t="s">
        <v>1806</v>
      </c>
      <c r="H87" s="1202" t="s">
        <v>1806</v>
      </c>
      <c r="I87" s="1203">
        <v>44561</v>
      </c>
      <c r="J87" s="1201" t="s">
        <v>47</v>
      </c>
      <c r="K87" s="1204">
        <v>5.9465409999999999</v>
      </c>
      <c r="L87" s="1204" t="s">
        <v>1631</v>
      </c>
      <c r="M87" s="1205"/>
      <c r="N87" s="1206"/>
      <c r="O87" s="1201"/>
      <c r="P87" s="1202"/>
      <c r="Q87" s="1207"/>
      <c r="R87" s="1208"/>
      <c r="S87" s="1212"/>
      <c r="T87" s="1212"/>
      <c r="U87" s="1197"/>
      <c r="V87" s="1210"/>
      <c r="W87" s="1197"/>
      <c r="X87" s="1197"/>
      <c r="Y87" s="1197"/>
      <c r="Z87" s="1197"/>
      <c r="AA87" s="1197"/>
      <c r="AB87" s="1197"/>
      <c r="AC87" s="1197"/>
      <c r="AD87" s="1197"/>
      <c r="AE87" s="1197"/>
      <c r="AF87" s="1197"/>
      <c r="AG87" s="1197"/>
      <c r="AH87" s="1197"/>
      <c r="AI87" s="1197"/>
      <c r="AJ87" s="1197"/>
      <c r="AK87" s="1197"/>
      <c r="AL87" s="1197"/>
      <c r="AM87" s="1197"/>
      <c r="AN87" s="1197"/>
      <c r="AO87" s="1197"/>
      <c r="AP87" s="1197"/>
      <c r="AQ87" s="1197"/>
    </row>
    <row r="88" spans="1:43" s="1200" customFormat="1" ht="11.25" customHeight="1">
      <c r="A88" s="1213"/>
      <c r="B88" s="1214">
        <v>2023</v>
      </c>
      <c r="C88" s="1215"/>
      <c r="D88" s="1216" t="s">
        <v>1815</v>
      </c>
      <c r="E88" s="1217"/>
      <c r="F88" s="1218">
        <v>6.9</v>
      </c>
      <c r="G88" s="1219">
        <v>9.75</v>
      </c>
      <c r="H88" s="1219">
        <v>53.89</v>
      </c>
      <c r="I88" s="1220"/>
      <c r="J88" s="1220"/>
      <c r="K88" s="1221">
        <v>233.4</v>
      </c>
      <c r="L88" s="1204"/>
      <c r="M88" s="1205"/>
      <c r="N88" s="1222"/>
      <c r="O88" s="1222"/>
      <c r="P88" s="1222"/>
      <c r="Q88" s="1212"/>
      <c r="R88" s="1223"/>
      <c r="S88" s="1223"/>
      <c r="T88" s="1197"/>
      <c r="U88" s="1197"/>
      <c r="V88" s="1222"/>
      <c r="W88" s="1224"/>
      <c r="X88" s="1224"/>
      <c r="Y88" s="1212"/>
      <c r="Z88" s="1197"/>
      <c r="AA88" s="1197"/>
      <c r="AB88" s="1197"/>
      <c r="AC88" s="1197"/>
      <c r="AD88" s="1197"/>
      <c r="AE88" s="1197"/>
      <c r="AF88" s="1197"/>
      <c r="AG88" s="1197"/>
      <c r="AH88" s="1197"/>
      <c r="AI88" s="1197"/>
      <c r="AJ88" s="1197"/>
      <c r="AK88" s="1197"/>
      <c r="AL88" s="1197"/>
      <c r="AM88" s="1197"/>
      <c r="AN88" s="1197"/>
      <c r="AO88" s="1197"/>
      <c r="AP88" s="1197"/>
      <c r="AQ88" s="1197"/>
    </row>
    <row r="89" spans="1:43" s="1200" customFormat="1" ht="11.25" customHeight="1">
      <c r="B89" s="1225"/>
      <c r="C89" s="1215"/>
      <c r="D89" s="1216" t="s">
        <v>324</v>
      </c>
      <c r="E89" s="1217"/>
      <c r="F89" s="1226">
        <v>8</v>
      </c>
      <c r="G89" s="1227">
        <v>7</v>
      </c>
      <c r="H89" s="1227">
        <v>7</v>
      </c>
      <c r="I89" s="1219"/>
      <c r="J89" s="1228"/>
      <c r="K89" s="1227">
        <v>11</v>
      </c>
      <c r="L89" s="1229"/>
      <c r="M89" s="1205"/>
      <c r="N89" s="1230"/>
      <c r="O89" s="1230"/>
      <c r="P89" s="1230"/>
      <c r="Q89" s="1231"/>
      <c r="R89" s="1230"/>
      <c r="S89" s="1230"/>
      <c r="T89" s="1197"/>
      <c r="U89" s="1197"/>
      <c r="V89" s="1210"/>
      <c r="W89" s="1197"/>
      <c r="X89" s="1197"/>
      <c r="Y89" s="1197"/>
      <c r="Z89" s="1197"/>
      <c r="AA89" s="1197"/>
      <c r="AB89" s="1197"/>
      <c r="AC89" s="1197"/>
      <c r="AD89" s="1197"/>
      <c r="AE89" s="1197"/>
      <c r="AF89" s="1197"/>
      <c r="AG89" s="1197"/>
      <c r="AH89" s="1197"/>
      <c r="AI89" s="1197"/>
      <c r="AJ89" s="1197"/>
      <c r="AK89" s="1197"/>
      <c r="AL89" s="1197"/>
      <c r="AM89" s="1197"/>
      <c r="AN89" s="1197"/>
      <c r="AO89" s="1197"/>
      <c r="AP89" s="1197"/>
      <c r="AQ89" s="1197"/>
    </row>
    <row r="90" spans="1:43" s="1200" customFormat="1" ht="11.25" customHeight="1">
      <c r="B90" s="1198">
        <v>45050</v>
      </c>
      <c r="C90" s="1199"/>
      <c r="D90" s="1200" t="s">
        <v>1659</v>
      </c>
      <c r="E90" s="1197" t="s">
        <v>233</v>
      </c>
      <c r="F90" s="1206">
        <v>7</v>
      </c>
      <c r="G90" s="1202">
        <v>9.3000000000000007</v>
      </c>
      <c r="H90" s="1202">
        <v>58</v>
      </c>
      <c r="I90" s="1203">
        <v>44651</v>
      </c>
      <c r="J90" s="1201" t="s">
        <v>47</v>
      </c>
      <c r="K90" s="1204">
        <v>-0.67478800000000005</v>
      </c>
      <c r="L90" s="1204" t="s">
        <v>1290</v>
      </c>
      <c r="M90" s="1205"/>
      <c r="N90" s="1230"/>
      <c r="O90" s="1230"/>
      <c r="P90" s="1230"/>
      <c r="Q90" s="1231"/>
      <c r="R90" s="1230"/>
      <c r="S90" s="1230"/>
      <c r="T90" s="1197"/>
      <c r="U90" s="1197"/>
      <c r="V90" s="1210"/>
      <c r="W90" s="1197"/>
      <c r="X90" s="1197"/>
      <c r="Y90" s="1197"/>
      <c r="Z90" s="1197"/>
      <c r="AA90" s="1197"/>
      <c r="AB90" s="1197"/>
      <c r="AC90" s="1197"/>
      <c r="AD90" s="1197"/>
      <c r="AE90" s="1197"/>
      <c r="AF90" s="1197"/>
      <c r="AG90" s="1197"/>
      <c r="AH90" s="1197"/>
      <c r="AI90" s="1197"/>
      <c r="AJ90" s="1197"/>
      <c r="AK90" s="1197"/>
      <c r="AL90" s="1197"/>
      <c r="AM90" s="1197"/>
      <c r="AN90" s="1197"/>
      <c r="AO90" s="1197"/>
      <c r="AP90" s="1197"/>
      <c r="AQ90" s="1197"/>
    </row>
    <row r="91" spans="1:43" s="1200" customFormat="1" ht="11.25" customHeight="1">
      <c r="B91" s="1198">
        <v>45055</v>
      </c>
      <c r="C91" s="1199"/>
      <c r="D91" s="1200" t="s">
        <v>1659</v>
      </c>
      <c r="E91" s="1197" t="s">
        <v>200</v>
      </c>
      <c r="F91" s="1232" t="s">
        <v>1806</v>
      </c>
      <c r="G91" s="1202" t="s">
        <v>1806</v>
      </c>
      <c r="H91" s="1202" t="s">
        <v>1806</v>
      </c>
      <c r="I91" s="1203">
        <v>44651</v>
      </c>
      <c r="J91" s="1201" t="s">
        <v>1806</v>
      </c>
      <c r="K91" s="1204">
        <v>5.7158230000000003</v>
      </c>
      <c r="L91" s="1204" t="s">
        <v>1290</v>
      </c>
      <c r="M91" s="1205"/>
      <c r="N91" s="1230"/>
      <c r="O91" s="1230"/>
      <c r="P91" s="1230"/>
      <c r="Q91" s="1231"/>
      <c r="R91" s="1230"/>
      <c r="S91" s="1230"/>
      <c r="T91" s="1197"/>
      <c r="U91" s="1197"/>
      <c r="V91" s="1210"/>
      <c r="W91" s="1197"/>
      <c r="X91" s="1197"/>
      <c r="Y91" s="1197"/>
      <c r="Z91" s="1197"/>
      <c r="AA91" s="1197"/>
      <c r="AB91" s="1197"/>
      <c r="AC91" s="1197"/>
      <c r="AD91" s="1197"/>
      <c r="AE91" s="1197"/>
      <c r="AF91" s="1197"/>
      <c r="AG91" s="1197"/>
      <c r="AH91" s="1197"/>
      <c r="AI91" s="1197"/>
      <c r="AJ91" s="1197"/>
      <c r="AK91" s="1197"/>
      <c r="AL91" s="1197"/>
      <c r="AM91" s="1197"/>
      <c r="AN91" s="1197"/>
      <c r="AO91" s="1197"/>
      <c r="AP91" s="1197"/>
      <c r="AQ91" s="1197"/>
    </row>
    <row r="92" spans="1:43" s="1200" customFormat="1" ht="11.25" customHeight="1">
      <c r="B92" s="1198">
        <v>45061</v>
      </c>
      <c r="C92" s="1199"/>
      <c r="D92" s="1200" t="s">
        <v>1840</v>
      </c>
      <c r="E92" s="1197" t="s">
        <v>171</v>
      </c>
      <c r="F92" s="1232" t="s">
        <v>1806</v>
      </c>
      <c r="G92" s="1202" t="s">
        <v>1806</v>
      </c>
      <c r="H92" s="1202" t="s">
        <v>1806</v>
      </c>
      <c r="I92" s="1203">
        <v>45199</v>
      </c>
      <c r="J92" s="1201" t="s">
        <v>1806</v>
      </c>
      <c r="K92" s="1204">
        <v>40.299999999999997</v>
      </c>
      <c r="L92" s="1204" t="s">
        <v>1622</v>
      </c>
      <c r="M92" s="1205"/>
      <c r="N92" s="1230"/>
      <c r="O92" s="1230"/>
      <c r="P92" s="1230"/>
      <c r="Q92" s="1231"/>
      <c r="R92" s="1230"/>
      <c r="S92" s="1230"/>
      <c r="T92" s="1197"/>
      <c r="U92" s="1197"/>
      <c r="V92" s="1210"/>
      <c r="W92" s="1197"/>
      <c r="X92" s="1197"/>
      <c r="Y92" s="1197"/>
      <c r="Z92" s="1197"/>
      <c r="AA92" s="1197"/>
      <c r="AB92" s="1197"/>
      <c r="AC92" s="1197"/>
      <c r="AD92" s="1197"/>
      <c r="AE92" s="1197"/>
      <c r="AF92" s="1197"/>
      <c r="AG92" s="1197"/>
      <c r="AH92" s="1197"/>
      <c r="AI92" s="1197"/>
      <c r="AJ92" s="1197"/>
      <c r="AK92" s="1197"/>
      <c r="AL92" s="1197"/>
      <c r="AM92" s="1197"/>
      <c r="AN92" s="1197"/>
      <c r="AO92" s="1197"/>
      <c r="AP92" s="1197"/>
      <c r="AQ92" s="1197"/>
    </row>
    <row r="93" spans="1:43" s="1200" customFormat="1" ht="11.25" customHeight="1">
      <c r="B93" s="1198">
        <v>45092</v>
      </c>
      <c r="C93" s="1199"/>
      <c r="D93" s="1200" t="s">
        <v>1769</v>
      </c>
      <c r="E93" s="1197" t="s">
        <v>219</v>
      </c>
      <c r="F93" s="1232" t="s">
        <v>1806</v>
      </c>
      <c r="G93" s="1202" t="s">
        <v>1806</v>
      </c>
      <c r="H93" s="1202" t="s">
        <v>1806</v>
      </c>
      <c r="I93" s="1203">
        <v>45504</v>
      </c>
      <c r="J93" s="1201" t="s">
        <v>1806</v>
      </c>
      <c r="K93" s="1204">
        <v>23</v>
      </c>
      <c r="L93" s="1204" t="s">
        <v>1290</v>
      </c>
      <c r="M93" s="1205"/>
      <c r="N93" s="1230"/>
      <c r="O93" s="1230"/>
      <c r="P93" s="1230"/>
      <c r="Q93" s="1231"/>
      <c r="R93" s="1230"/>
      <c r="S93" s="1230"/>
      <c r="T93" s="1197"/>
      <c r="U93" s="1197"/>
      <c r="V93" s="1210"/>
      <c r="W93" s="1197"/>
      <c r="X93" s="1197"/>
      <c r="Y93" s="1197"/>
      <c r="Z93" s="1197"/>
      <c r="AA93" s="1197"/>
      <c r="AB93" s="1197"/>
      <c r="AC93" s="1197"/>
      <c r="AD93" s="1197"/>
      <c r="AE93" s="1197"/>
      <c r="AF93" s="1197"/>
      <c r="AG93" s="1197"/>
      <c r="AH93" s="1197"/>
      <c r="AI93" s="1197"/>
      <c r="AJ93" s="1197"/>
      <c r="AK93" s="1197"/>
      <c r="AL93" s="1197"/>
      <c r="AM93" s="1197"/>
      <c r="AN93" s="1197"/>
      <c r="AO93" s="1197"/>
      <c r="AP93" s="1197"/>
      <c r="AQ93" s="1197"/>
    </row>
    <row r="94" spans="1:43" s="1200" customFormat="1" ht="11.25" customHeight="1">
      <c r="B94" s="1233">
        <v>45099</v>
      </c>
      <c r="C94" s="1234"/>
      <c r="D94" s="1197" t="s">
        <v>1659</v>
      </c>
      <c r="E94" s="1197" t="s">
        <v>167</v>
      </c>
      <c r="F94" s="1232">
        <v>7.58</v>
      </c>
      <c r="G94" s="1206" t="s">
        <v>1806</v>
      </c>
      <c r="H94" s="1206">
        <v>62.2</v>
      </c>
      <c r="I94" s="1235">
        <v>44834</v>
      </c>
      <c r="J94" s="1232" t="s">
        <v>47</v>
      </c>
      <c r="K94" s="1236">
        <v>-1.156523</v>
      </c>
      <c r="L94" s="1205">
        <v>33</v>
      </c>
      <c r="M94" s="1205"/>
      <c r="N94" s="1230"/>
      <c r="O94" s="1230"/>
      <c r="P94" s="1230"/>
      <c r="Q94" s="1231"/>
      <c r="R94" s="1230"/>
      <c r="S94" s="1230"/>
      <c r="T94" s="1197"/>
      <c r="U94" s="1197"/>
      <c r="V94" s="1210"/>
      <c r="W94" s="1197"/>
      <c r="X94" s="1197"/>
      <c r="Y94" s="1197"/>
      <c r="Z94" s="1197"/>
      <c r="AA94" s="1197"/>
      <c r="AB94" s="1197"/>
      <c r="AC94" s="1197"/>
      <c r="AD94" s="1197"/>
      <c r="AE94" s="1197"/>
      <c r="AF94" s="1197"/>
      <c r="AG94" s="1197"/>
      <c r="AH94" s="1197"/>
      <c r="AI94" s="1197"/>
      <c r="AJ94" s="1197"/>
      <c r="AK94" s="1197"/>
      <c r="AL94" s="1197"/>
      <c r="AM94" s="1197"/>
      <c r="AN94" s="1197"/>
      <c r="AO94" s="1197"/>
      <c r="AP94" s="1197"/>
      <c r="AQ94" s="1197"/>
    </row>
    <row r="95" spans="1:43" s="1200" customFormat="1" ht="11.25" customHeight="1">
      <c r="B95" s="1198">
        <v>45107</v>
      </c>
      <c r="C95" s="1199"/>
      <c r="D95" s="1200" t="s">
        <v>1841</v>
      </c>
      <c r="E95" s="1197" t="s">
        <v>222</v>
      </c>
      <c r="F95" s="1232">
        <v>6.97</v>
      </c>
      <c r="G95" s="1202">
        <v>9.5</v>
      </c>
      <c r="H95" s="1202">
        <v>50</v>
      </c>
      <c r="I95" s="1203">
        <v>44926</v>
      </c>
      <c r="J95" s="1201" t="s">
        <v>47</v>
      </c>
      <c r="K95" s="1204">
        <v>3.05</v>
      </c>
      <c r="L95" s="1204" t="s">
        <v>1290</v>
      </c>
      <c r="M95" s="1205"/>
      <c r="N95" s="1230"/>
      <c r="O95" s="1230"/>
      <c r="P95" s="1230"/>
      <c r="Q95" s="1231"/>
      <c r="R95" s="1230"/>
      <c r="S95" s="1230"/>
      <c r="T95" s="1197"/>
      <c r="U95" s="1197"/>
      <c r="V95" s="1210"/>
      <c r="W95" s="1197"/>
      <c r="X95" s="1197"/>
      <c r="Y95" s="1197"/>
      <c r="Z95" s="1197"/>
      <c r="AA95" s="1197"/>
      <c r="AB95" s="1197"/>
      <c r="AC95" s="1197"/>
      <c r="AD95" s="1197"/>
      <c r="AE95" s="1197"/>
      <c r="AF95" s="1197"/>
      <c r="AG95" s="1197"/>
      <c r="AH95" s="1197"/>
      <c r="AI95" s="1197"/>
      <c r="AJ95" s="1197"/>
      <c r="AK95" s="1197"/>
      <c r="AL95" s="1197"/>
      <c r="AM95" s="1197"/>
      <c r="AN95" s="1197"/>
      <c r="AO95" s="1197"/>
      <c r="AP95" s="1197"/>
      <c r="AQ95" s="1197"/>
    </row>
    <row r="96" spans="1:43" s="1200" customFormat="1" ht="11.25" customHeight="1">
      <c r="B96" s="1225"/>
      <c r="C96" s="1237"/>
      <c r="D96" s="1216" t="s">
        <v>1819</v>
      </c>
      <c r="E96" s="1217"/>
      <c r="F96" s="1238">
        <v>7.12</v>
      </c>
      <c r="G96" s="1227">
        <v>9.4499999999999993</v>
      </c>
      <c r="H96" s="1227">
        <v>56.18</v>
      </c>
      <c r="I96" s="1219"/>
      <c r="J96" s="1228"/>
      <c r="K96" s="1227">
        <v>79.5</v>
      </c>
      <c r="L96" s="1229"/>
      <c r="M96" s="1205"/>
      <c r="N96" s="1230"/>
      <c r="O96" s="1230"/>
      <c r="P96" s="1230"/>
      <c r="Q96" s="1231"/>
      <c r="R96" s="1230"/>
      <c r="S96" s="1230"/>
      <c r="T96" s="1197"/>
      <c r="U96" s="1197"/>
      <c r="V96" s="1210"/>
      <c r="W96" s="1197"/>
      <c r="X96" s="1197"/>
      <c r="Y96" s="1197"/>
      <c r="Z96" s="1197"/>
      <c r="AA96" s="1197"/>
      <c r="AB96" s="1197"/>
      <c r="AC96" s="1197"/>
      <c r="AD96" s="1197"/>
      <c r="AE96" s="1197"/>
      <c r="AF96" s="1197"/>
      <c r="AG96" s="1197"/>
      <c r="AH96" s="1197"/>
      <c r="AI96" s="1197"/>
      <c r="AJ96" s="1197"/>
      <c r="AK96" s="1197"/>
      <c r="AL96" s="1197"/>
      <c r="AM96" s="1197"/>
      <c r="AN96" s="1197"/>
      <c r="AO96" s="1197"/>
      <c r="AP96" s="1197"/>
      <c r="AQ96" s="1197"/>
    </row>
    <row r="97" spans="2:43" s="1200" customFormat="1" ht="11.25" customHeight="1">
      <c r="B97" s="1225"/>
      <c r="C97" s="1237"/>
      <c r="D97" s="1216" t="s">
        <v>324</v>
      </c>
      <c r="E97" s="1217"/>
      <c r="F97" s="1238">
        <v>4</v>
      </c>
      <c r="G97" s="1227">
        <v>3</v>
      </c>
      <c r="H97" s="1227">
        <v>4</v>
      </c>
      <c r="I97" s="1219"/>
      <c r="J97" s="1228"/>
      <c r="K97" s="1227">
        <v>8</v>
      </c>
      <c r="L97" s="1229"/>
      <c r="M97" s="1205"/>
      <c r="N97" s="1230"/>
      <c r="O97" s="1230"/>
      <c r="P97" s="1230"/>
      <c r="Q97" s="1231"/>
      <c r="R97" s="1230"/>
      <c r="S97" s="1230"/>
      <c r="T97" s="1197"/>
      <c r="U97" s="1197"/>
      <c r="V97" s="1210"/>
      <c r="W97" s="1197"/>
      <c r="X97" s="1197"/>
      <c r="Y97" s="1197"/>
      <c r="Z97" s="1197"/>
      <c r="AA97" s="1197"/>
      <c r="AB97" s="1197"/>
      <c r="AC97" s="1197"/>
      <c r="AD97" s="1197"/>
      <c r="AE97" s="1197"/>
      <c r="AF97" s="1197"/>
      <c r="AG97" s="1197"/>
      <c r="AH97" s="1197"/>
      <c r="AI97" s="1197"/>
      <c r="AJ97" s="1197"/>
      <c r="AK97" s="1197"/>
      <c r="AL97" s="1197"/>
      <c r="AM97" s="1197"/>
      <c r="AN97" s="1197"/>
      <c r="AO97" s="1197"/>
      <c r="AP97" s="1197"/>
      <c r="AQ97" s="1197"/>
    </row>
    <row r="98" spans="2:43" s="1200" customFormat="1" ht="11.25" customHeight="1">
      <c r="B98" s="1198">
        <v>45118</v>
      </c>
      <c r="C98" s="1199"/>
      <c r="D98" s="1200" t="s">
        <v>1743</v>
      </c>
      <c r="E98" s="1197" t="s">
        <v>165</v>
      </c>
      <c r="F98" s="1201" t="s">
        <v>1806</v>
      </c>
      <c r="G98" s="1202" t="s">
        <v>1806</v>
      </c>
      <c r="H98" s="1202" t="s">
        <v>1806</v>
      </c>
      <c r="I98" s="1203">
        <v>44926</v>
      </c>
      <c r="J98" s="1201" t="s">
        <v>1806</v>
      </c>
      <c r="K98" s="1204">
        <v>26.296719</v>
      </c>
      <c r="L98" s="1204" t="s">
        <v>1842</v>
      </c>
      <c r="M98" s="1205"/>
      <c r="N98" s="1204"/>
      <c r="O98" s="1230"/>
      <c r="P98" s="1230"/>
      <c r="Q98" s="1231"/>
      <c r="R98" s="1230"/>
      <c r="S98" s="1202"/>
      <c r="T98" s="1197"/>
      <c r="U98" s="1197"/>
      <c r="V98" s="1210"/>
      <c r="W98" s="1197"/>
      <c r="X98" s="1197"/>
      <c r="Y98" s="1197"/>
      <c r="Z98" s="1197"/>
      <c r="AA98" s="1197"/>
      <c r="AB98" s="1197"/>
      <c r="AC98" s="1197"/>
      <c r="AD98" s="1197"/>
      <c r="AE98" s="1197"/>
      <c r="AF98" s="1197"/>
      <c r="AG98" s="1197"/>
      <c r="AH98" s="1197"/>
      <c r="AI98" s="1197"/>
      <c r="AJ98" s="1197"/>
      <c r="AK98" s="1197"/>
      <c r="AL98" s="1197"/>
      <c r="AM98" s="1197"/>
      <c r="AN98" s="1197"/>
      <c r="AO98" s="1197"/>
      <c r="AP98" s="1197"/>
      <c r="AQ98" s="1197"/>
    </row>
    <row r="99" spans="2:43" s="1200" customFormat="1" ht="11.25" customHeight="1">
      <c r="B99" s="1198">
        <v>45127</v>
      </c>
      <c r="C99" s="1199"/>
      <c r="D99" s="1200" t="s">
        <v>177</v>
      </c>
      <c r="E99" s="1197" t="s">
        <v>178</v>
      </c>
      <c r="F99" s="1201">
        <v>6.75</v>
      </c>
      <c r="G99" s="1202">
        <v>9.25</v>
      </c>
      <c r="H99" s="1202">
        <v>48</v>
      </c>
      <c r="I99" s="1203">
        <v>45291</v>
      </c>
      <c r="J99" s="1201" t="s">
        <v>47</v>
      </c>
      <c r="K99" s="1204">
        <v>217.21</v>
      </c>
      <c r="L99" s="1204" t="s">
        <v>1627</v>
      </c>
      <c r="M99" s="1205"/>
      <c r="N99" s="1204"/>
      <c r="O99" s="1230"/>
      <c r="P99" s="1230"/>
      <c r="Q99" s="1231"/>
      <c r="R99" s="1230"/>
      <c r="S99" s="1202"/>
      <c r="T99" s="1197"/>
      <c r="U99" s="1197"/>
      <c r="V99" s="1210"/>
      <c r="W99" s="1197"/>
      <c r="X99" s="1197"/>
      <c r="Y99" s="1197"/>
      <c r="Z99" s="1197"/>
      <c r="AA99" s="1197"/>
      <c r="AB99" s="1197"/>
      <c r="AC99" s="1197"/>
      <c r="AD99" s="1197"/>
      <c r="AE99" s="1197"/>
      <c r="AF99" s="1197"/>
      <c r="AG99" s="1197"/>
      <c r="AH99" s="1197"/>
      <c r="AI99" s="1197"/>
      <c r="AJ99" s="1197"/>
      <c r="AK99" s="1197"/>
      <c r="AL99" s="1197"/>
      <c r="AM99" s="1197"/>
      <c r="AN99" s="1197"/>
      <c r="AO99" s="1197"/>
      <c r="AP99" s="1197"/>
      <c r="AQ99" s="1197"/>
    </row>
    <row r="100" spans="2:43" s="1200" customFormat="1" ht="11.25" customHeight="1">
      <c r="B100" s="1198">
        <v>45166</v>
      </c>
      <c r="C100" s="1199"/>
      <c r="D100" s="1200" t="s">
        <v>1843</v>
      </c>
      <c r="E100" s="1197" t="s">
        <v>171</v>
      </c>
      <c r="F100" s="1201" t="s">
        <v>1806</v>
      </c>
      <c r="G100" s="1202" t="s">
        <v>1806</v>
      </c>
      <c r="H100" s="1202" t="s">
        <v>1806</v>
      </c>
      <c r="I100" s="1203">
        <v>44926</v>
      </c>
      <c r="J100" s="1201" t="s">
        <v>1806</v>
      </c>
      <c r="K100" s="1204">
        <v>48</v>
      </c>
      <c r="L100" s="1204" t="s">
        <v>1290</v>
      </c>
      <c r="M100" s="1205"/>
      <c r="N100" s="1204"/>
      <c r="O100" s="1230"/>
      <c r="P100" s="1230"/>
      <c r="Q100" s="1231"/>
      <c r="R100" s="1230"/>
      <c r="S100" s="1202"/>
      <c r="T100" s="1197"/>
      <c r="U100" s="1197"/>
      <c r="V100" s="1210"/>
      <c r="W100" s="1197"/>
      <c r="X100" s="1197"/>
      <c r="Y100" s="1197"/>
      <c r="Z100" s="1197"/>
      <c r="AA100" s="1197"/>
      <c r="AB100" s="1197"/>
      <c r="AC100" s="1197"/>
      <c r="AD100" s="1197"/>
      <c r="AE100" s="1197"/>
      <c r="AF100" s="1197"/>
      <c r="AG100" s="1197"/>
      <c r="AH100" s="1197"/>
      <c r="AI100" s="1197"/>
      <c r="AJ100" s="1197"/>
      <c r="AK100" s="1197"/>
      <c r="AL100" s="1197"/>
      <c r="AM100" s="1197"/>
      <c r="AN100" s="1197"/>
      <c r="AO100" s="1197"/>
      <c r="AP100" s="1197"/>
      <c r="AQ100" s="1197"/>
    </row>
    <row r="101" spans="2:43" s="1200" customFormat="1" ht="11.25" customHeight="1">
      <c r="B101" s="1198">
        <v>45167</v>
      </c>
      <c r="C101" s="1199"/>
      <c r="D101" s="1200" t="s">
        <v>1844</v>
      </c>
      <c r="E101" s="1197" t="s">
        <v>171</v>
      </c>
      <c r="F101" s="1201" t="s">
        <v>1806</v>
      </c>
      <c r="G101" s="1202" t="s">
        <v>1806</v>
      </c>
      <c r="H101" s="1202" t="s">
        <v>1806</v>
      </c>
      <c r="I101" s="1203">
        <v>44561</v>
      </c>
      <c r="J101" s="1201" t="s">
        <v>1806</v>
      </c>
      <c r="K101" s="1204">
        <v>73</v>
      </c>
      <c r="L101" s="1236" t="s">
        <v>1622</v>
      </c>
      <c r="M101" s="1205"/>
      <c r="N101" s="1204"/>
      <c r="O101" s="1230"/>
      <c r="P101" s="1230"/>
      <c r="Q101" s="1231"/>
      <c r="R101" s="1230"/>
      <c r="S101" s="1202"/>
      <c r="T101" s="1197"/>
      <c r="U101" s="1197"/>
      <c r="V101" s="1210"/>
      <c r="W101" s="1197"/>
      <c r="X101" s="1197"/>
      <c r="Y101" s="1197"/>
      <c r="Z101" s="1197"/>
      <c r="AA101" s="1197"/>
      <c r="AB101" s="1197"/>
      <c r="AC101" s="1197"/>
      <c r="AD101" s="1197"/>
      <c r="AE101" s="1197"/>
      <c r="AF101" s="1197"/>
      <c r="AG101" s="1197"/>
      <c r="AH101" s="1197"/>
      <c r="AI101" s="1197"/>
      <c r="AJ101" s="1197"/>
      <c r="AK101" s="1197"/>
      <c r="AL101" s="1197"/>
      <c r="AM101" s="1197"/>
      <c r="AN101" s="1197"/>
      <c r="AO101" s="1197"/>
      <c r="AP101" s="1197"/>
      <c r="AQ101" s="1197"/>
    </row>
    <row r="102" spans="2:43" s="1200" customFormat="1" ht="11.25" customHeight="1">
      <c r="B102" s="1198">
        <v>45168</v>
      </c>
      <c r="C102" s="1199"/>
      <c r="D102" s="1200" t="s">
        <v>175</v>
      </c>
      <c r="E102" s="1197" t="s">
        <v>161</v>
      </c>
      <c r="F102" s="1201" t="s">
        <v>1806</v>
      </c>
      <c r="G102" s="1202">
        <v>9.9</v>
      </c>
      <c r="H102" s="1202" t="s">
        <v>1806</v>
      </c>
      <c r="I102" s="1203" t="s">
        <v>1806</v>
      </c>
      <c r="J102" s="1201" t="s">
        <v>1806</v>
      </c>
      <c r="K102" s="1204">
        <v>95</v>
      </c>
      <c r="L102" s="1204" t="s">
        <v>1290</v>
      </c>
      <c r="M102" s="1205"/>
      <c r="N102" s="1204"/>
      <c r="O102" s="1230"/>
      <c r="P102" s="1230"/>
      <c r="Q102" s="1231"/>
      <c r="R102" s="1230"/>
      <c r="S102" s="1202"/>
      <c r="T102" s="1197"/>
      <c r="U102" s="1197"/>
      <c r="V102" s="1210"/>
      <c r="W102" s="1197"/>
      <c r="X102" s="1197"/>
      <c r="Y102" s="1197"/>
      <c r="Z102" s="1197"/>
      <c r="AA102" s="1197"/>
      <c r="AB102" s="1197"/>
      <c r="AC102" s="1197"/>
      <c r="AD102" s="1197"/>
      <c r="AE102" s="1197"/>
      <c r="AF102" s="1197"/>
      <c r="AG102" s="1197"/>
      <c r="AH102" s="1197"/>
      <c r="AI102" s="1197"/>
      <c r="AJ102" s="1197"/>
      <c r="AK102" s="1197"/>
      <c r="AL102" s="1197"/>
      <c r="AM102" s="1197"/>
      <c r="AN102" s="1197"/>
      <c r="AO102" s="1197"/>
      <c r="AP102" s="1197"/>
      <c r="AQ102" s="1197"/>
    </row>
    <row r="103" spans="2:43" s="1200" customFormat="1" ht="11.25" customHeight="1">
      <c r="B103" s="1198">
        <v>45168</v>
      </c>
      <c r="C103" s="1199"/>
      <c r="D103" s="1200" t="s">
        <v>1749</v>
      </c>
      <c r="E103" s="1197" t="s">
        <v>161</v>
      </c>
      <c r="F103" s="1201" t="s">
        <v>1806</v>
      </c>
      <c r="G103" s="1202">
        <v>9.8000000000000007</v>
      </c>
      <c r="H103" s="1202" t="s">
        <v>1806</v>
      </c>
      <c r="I103" s="1203">
        <v>45657</v>
      </c>
      <c r="J103" s="1201" t="s">
        <v>47</v>
      </c>
      <c r="K103" s="1204">
        <v>9.9</v>
      </c>
      <c r="L103" s="1204" t="s">
        <v>1290</v>
      </c>
      <c r="M103" s="1205"/>
      <c r="N103" s="1204"/>
      <c r="O103" s="1230"/>
      <c r="P103" s="1230"/>
      <c r="Q103" s="1231"/>
      <c r="R103" s="1230"/>
      <c r="S103" s="1202"/>
      <c r="T103" s="1197"/>
      <c r="U103" s="1197"/>
      <c r="V103" s="1210"/>
      <c r="W103" s="1197"/>
      <c r="X103" s="1197"/>
      <c r="Y103" s="1197"/>
      <c r="Z103" s="1197"/>
      <c r="AA103" s="1197"/>
      <c r="AB103" s="1197"/>
      <c r="AC103" s="1197"/>
      <c r="AD103" s="1197"/>
      <c r="AE103" s="1197"/>
      <c r="AF103" s="1197"/>
      <c r="AG103" s="1197"/>
      <c r="AH103" s="1197"/>
      <c r="AI103" s="1197"/>
      <c r="AJ103" s="1197"/>
      <c r="AK103" s="1197"/>
      <c r="AL103" s="1197"/>
      <c r="AM103" s="1197"/>
      <c r="AN103" s="1197"/>
      <c r="AO103" s="1197"/>
      <c r="AP103" s="1197"/>
      <c r="AQ103" s="1197"/>
    </row>
    <row r="104" spans="2:43" s="1200" customFormat="1" ht="11.25" customHeight="1">
      <c r="B104" s="1198">
        <v>45169</v>
      </c>
      <c r="C104" s="1199"/>
      <c r="D104" s="1200" t="s">
        <v>31</v>
      </c>
      <c r="E104" s="1197" t="s">
        <v>222</v>
      </c>
      <c r="F104" s="1201">
        <v>7.19</v>
      </c>
      <c r="G104" s="1202">
        <v>9.4</v>
      </c>
      <c r="H104" s="1202">
        <v>50</v>
      </c>
      <c r="I104" s="1203">
        <v>44742</v>
      </c>
      <c r="J104" s="1201" t="s">
        <v>47</v>
      </c>
      <c r="K104" s="1204">
        <v>1.2549999999999999</v>
      </c>
      <c r="L104" s="1204" t="s">
        <v>1627</v>
      </c>
      <c r="M104" s="1205"/>
      <c r="N104" s="1204"/>
      <c r="O104" s="1230"/>
      <c r="P104" s="1230"/>
      <c r="Q104" s="1231"/>
      <c r="R104" s="1230"/>
      <c r="S104" s="1202"/>
      <c r="T104" s="1197"/>
      <c r="U104" s="1197"/>
      <c r="V104" s="1210"/>
      <c r="W104" s="1197"/>
      <c r="X104" s="1197"/>
      <c r="Y104" s="1197"/>
      <c r="Z104" s="1197"/>
      <c r="AA104" s="1197"/>
      <c r="AB104" s="1197"/>
      <c r="AC104" s="1197"/>
      <c r="AD104" s="1197"/>
      <c r="AE104" s="1197"/>
      <c r="AF104" s="1197"/>
      <c r="AG104" s="1197"/>
      <c r="AH104" s="1197"/>
      <c r="AI104" s="1197"/>
      <c r="AJ104" s="1197"/>
      <c r="AK104" s="1197"/>
      <c r="AL104" s="1197"/>
      <c r="AM104" s="1197"/>
      <c r="AN104" s="1197"/>
      <c r="AO104" s="1197"/>
      <c r="AP104" s="1197"/>
      <c r="AQ104" s="1197"/>
    </row>
    <row r="105" spans="2:43" s="1200" customFormat="1" ht="11.25" customHeight="1">
      <c r="B105" s="1198">
        <v>45189</v>
      </c>
      <c r="C105" s="1199"/>
      <c r="D105" s="1200" t="s">
        <v>1845</v>
      </c>
      <c r="E105" s="1200" t="s">
        <v>1641</v>
      </c>
      <c r="F105" s="1201">
        <v>7.22</v>
      </c>
      <c r="G105" s="1202">
        <v>9.35</v>
      </c>
      <c r="H105" s="1202">
        <v>52.01</v>
      </c>
      <c r="I105" s="1203">
        <v>44926</v>
      </c>
      <c r="J105" s="1201" t="s">
        <v>1806</v>
      </c>
      <c r="K105" s="1204">
        <v>7.5734329999999996</v>
      </c>
      <c r="L105" s="1204" t="s">
        <v>1290</v>
      </c>
      <c r="M105" s="1205"/>
      <c r="N105" s="1204"/>
      <c r="O105" s="1230"/>
      <c r="P105" s="1230"/>
      <c r="Q105" s="1231"/>
      <c r="R105" s="1230"/>
      <c r="S105" s="1202"/>
      <c r="T105" s="1197"/>
      <c r="U105" s="1197"/>
      <c r="V105" s="1210"/>
      <c r="W105" s="1197"/>
      <c r="X105" s="1197"/>
      <c r="Y105" s="1197"/>
      <c r="Z105" s="1197"/>
      <c r="AA105" s="1197"/>
      <c r="AB105" s="1197"/>
      <c r="AC105" s="1197"/>
      <c r="AD105" s="1197"/>
      <c r="AE105" s="1197"/>
      <c r="AF105" s="1197"/>
      <c r="AG105" s="1197"/>
      <c r="AH105" s="1197"/>
      <c r="AI105" s="1197"/>
      <c r="AJ105" s="1197"/>
      <c r="AK105" s="1197"/>
      <c r="AL105" s="1197"/>
      <c r="AM105" s="1197"/>
      <c r="AN105" s="1197"/>
      <c r="AO105" s="1197"/>
      <c r="AP105" s="1197"/>
      <c r="AQ105" s="1197"/>
    </row>
    <row r="106" spans="2:43" s="1200" customFormat="1" ht="11.25" customHeight="1">
      <c r="B106" s="1198">
        <v>45189</v>
      </c>
      <c r="C106" s="1199"/>
      <c r="D106" s="1200" t="s">
        <v>1698</v>
      </c>
      <c r="E106" s="1197" t="s">
        <v>190</v>
      </c>
      <c r="F106" s="1201">
        <v>7.74</v>
      </c>
      <c r="G106" s="1202">
        <v>9.49</v>
      </c>
      <c r="H106" s="1202">
        <v>54.78</v>
      </c>
      <c r="I106" s="1203">
        <v>44834</v>
      </c>
      <c r="J106" s="1201" t="s">
        <v>1620</v>
      </c>
      <c r="K106" s="1204">
        <v>-5.1279909999999997</v>
      </c>
      <c r="L106" s="1204" t="s">
        <v>1290</v>
      </c>
      <c r="M106" s="1205"/>
      <c r="N106" s="1204"/>
      <c r="O106" s="1230"/>
      <c r="P106" s="1230"/>
      <c r="Q106" s="1231"/>
      <c r="R106" s="1230"/>
      <c r="S106" s="1202"/>
      <c r="T106" s="1197"/>
      <c r="U106" s="1197"/>
      <c r="V106" s="1210"/>
      <c r="W106" s="1197"/>
      <c r="X106" s="1197"/>
      <c r="Y106" s="1197"/>
      <c r="Z106" s="1197"/>
      <c r="AA106" s="1197"/>
      <c r="AB106" s="1197"/>
      <c r="AC106" s="1197"/>
      <c r="AD106" s="1197"/>
      <c r="AE106" s="1197"/>
      <c r="AF106" s="1197"/>
      <c r="AG106" s="1197"/>
      <c r="AH106" s="1197"/>
      <c r="AI106" s="1197"/>
      <c r="AJ106" s="1197"/>
      <c r="AK106" s="1197"/>
      <c r="AL106" s="1197"/>
      <c r="AM106" s="1197"/>
      <c r="AN106" s="1197"/>
      <c r="AO106" s="1197"/>
      <c r="AP106" s="1197"/>
      <c r="AQ106" s="1197"/>
    </row>
    <row r="107" spans="2:43" s="1200" customFormat="1" ht="11.25" customHeight="1">
      <c r="B107" s="1198">
        <v>45197</v>
      </c>
      <c r="C107" s="1199"/>
      <c r="D107" s="1200" t="s">
        <v>1747</v>
      </c>
      <c r="E107" s="1197" t="s">
        <v>208</v>
      </c>
      <c r="F107" s="1201" t="s">
        <v>1806</v>
      </c>
      <c r="G107" s="1202" t="s">
        <v>1806</v>
      </c>
      <c r="H107" s="1202" t="s">
        <v>1806</v>
      </c>
      <c r="I107" s="1203" t="s">
        <v>1806</v>
      </c>
      <c r="J107" s="1201" t="s">
        <v>1806</v>
      </c>
      <c r="K107" s="1204">
        <v>57.391815999999999</v>
      </c>
      <c r="L107" s="1229">
        <v>25</v>
      </c>
      <c r="M107" s="1205"/>
      <c r="N107" s="1204"/>
      <c r="O107" s="1230"/>
      <c r="P107" s="1230"/>
      <c r="Q107" s="1231"/>
      <c r="R107" s="1230"/>
      <c r="S107" s="1222"/>
      <c r="T107" s="1197"/>
      <c r="U107" s="1197"/>
      <c r="V107" s="1210"/>
      <c r="W107" s="1197"/>
      <c r="X107" s="1197"/>
      <c r="Y107" s="1197"/>
      <c r="Z107" s="1197"/>
      <c r="AA107" s="1197"/>
      <c r="AB107" s="1197"/>
      <c r="AC107" s="1197"/>
      <c r="AD107" s="1197"/>
      <c r="AE107" s="1197"/>
      <c r="AF107" s="1197"/>
      <c r="AG107" s="1197"/>
      <c r="AH107" s="1197"/>
      <c r="AI107" s="1197"/>
      <c r="AJ107" s="1197"/>
      <c r="AK107" s="1197"/>
      <c r="AL107" s="1197"/>
      <c r="AM107" s="1197"/>
      <c r="AN107" s="1197"/>
      <c r="AO107" s="1197"/>
      <c r="AP107" s="1197"/>
      <c r="AQ107" s="1197"/>
    </row>
    <row r="108" spans="2:43" s="1200" customFormat="1" ht="11.25" customHeight="1">
      <c r="B108" s="1225"/>
      <c r="C108" s="1237"/>
      <c r="D108" s="1216" t="s">
        <v>1826</v>
      </c>
      <c r="E108" s="1217"/>
      <c r="F108" s="1238">
        <v>7.35</v>
      </c>
      <c r="G108" s="1227">
        <v>9.66</v>
      </c>
      <c r="H108" s="1227">
        <v>52.88</v>
      </c>
      <c r="I108" s="1219"/>
      <c r="J108" s="1228"/>
      <c r="K108" s="1227">
        <v>577.20000000000005</v>
      </c>
      <c r="L108" s="1229"/>
      <c r="M108" s="1205"/>
      <c r="N108" s="1230"/>
      <c r="O108" s="1230"/>
      <c r="P108" s="1230"/>
      <c r="Q108" s="1231"/>
      <c r="R108" s="1230"/>
      <c r="S108" s="1230"/>
      <c r="T108" s="1197"/>
      <c r="U108" s="1197"/>
      <c r="V108" s="1210"/>
      <c r="W108" s="1197"/>
      <c r="X108" s="1197"/>
      <c r="Y108" s="1197"/>
      <c r="Z108" s="1197"/>
      <c r="AA108" s="1197"/>
      <c r="AB108" s="1197"/>
      <c r="AC108" s="1197"/>
      <c r="AD108" s="1197"/>
      <c r="AE108" s="1197"/>
      <c r="AF108" s="1197"/>
      <c r="AG108" s="1197"/>
      <c r="AH108" s="1197"/>
      <c r="AI108" s="1197"/>
      <c r="AJ108" s="1197"/>
      <c r="AK108" s="1197"/>
      <c r="AL108" s="1197"/>
      <c r="AM108" s="1197"/>
      <c r="AN108" s="1197"/>
      <c r="AO108" s="1197"/>
      <c r="AP108" s="1197"/>
      <c r="AQ108" s="1197"/>
    </row>
    <row r="109" spans="2:43" s="1200" customFormat="1" ht="11.25" customHeight="1">
      <c r="B109" s="1225"/>
      <c r="C109" s="1237"/>
      <c r="D109" s="1216" t="s">
        <v>324</v>
      </c>
      <c r="E109" s="1217"/>
      <c r="F109" s="1238">
        <v>6</v>
      </c>
      <c r="G109" s="1227">
        <v>7</v>
      </c>
      <c r="H109" s="1227">
        <v>5</v>
      </c>
      <c r="I109" s="1219"/>
      <c r="J109" s="1228"/>
      <c r="K109" s="1227">
        <v>18</v>
      </c>
      <c r="L109" s="1229"/>
      <c r="M109" s="1205"/>
      <c r="N109" s="1230"/>
      <c r="O109" s="1230"/>
      <c r="P109" s="1230"/>
      <c r="Q109" s="1231"/>
      <c r="R109" s="1230"/>
      <c r="S109" s="1230"/>
      <c r="T109" s="1197"/>
      <c r="U109" s="1197"/>
      <c r="V109" s="1210"/>
      <c r="W109" s="1197"/>
      <c r="X109" s="1197"/>
      <c r="Y109" s="1197"/>
      <c r="Z109" s="1197"/>
      <c r="AA109" s="1197"/>
      <c r="AB109" s="1197"/>
      <c r="AC109" s="1197"/>
      <c r="AD109" s="1197"/>
      <c r="AE109" s="1197"/>
      <c r="AF109" s="1197"/>
      <c r="AG109" s="1197"/>
      <c r="AH109" s="1197"/>
      <c r="AI109" s="1197"/>
      <c r="AJ109" s="1197"/>
      <c r="AK109" s="1197"/>
      <c r="AL109" s="1197"/>
      <c r="AM109" s="1197"/>
      <c r="AN109" s="1197"/>
      <c r="AO109" s="1197"/>
      <c r="AP109" s="1197"/>
      <c r="AQ109" s="1197"/>
    </row>
    <row r="110" spans="2:43" s="1200" customFormat="1" ht="11.25" customHeight="1">
      <c r="B110" s="1198">
        <v>45204</v>
      </c>
      <c r="C110" s="1199"/>
      <c r="D110" s="1197" t="s">
        <v>1654</v>
      </c>
      <c r="E110" s="1197" t="s">
        <v>190</v>
      </c>
      <c r="F110" s="1201">
        <v>6.9</v>
      </c>
      <c r="G110" s="1202">
        <v>9.3000000000000007</v>
      </c>
      <c r="H110" s="1202">
        <v>53.13</v>
      </c>
      <c r="I110" s="1203">
        <v>45016</v>
      </c>
      <c r="J110" s="1201" t="s">
        <v>1620</v>
      </c>
      <c r="K110" s="1204">
        <v>12.9399</v>
      </c>
      <c r="L110" s="1204" t="s">
        <v>1290</v>
      </c>
      <c r="M110" s="1236"/>
      <c r="N110" s="1239"/>
      <c r="O110" s="1230"/>
      <c r="P110" s="1230"/>
      <c r="Q110" s="1231"/>
      <c r="R110" s="1230"/>
      <c r="S110" s="1230"/>
      <c r="T110" s="1197"/>
      <c r="U110" s="1197"/>
      <c r="V110" s="1210"/>
      <c r="W110" s="1197"/>
      <c r="X110" s="1197"/>
      <c r="Y110" s="1197"/>
      <c r="Z110" s="1197"/>
      <c r="AA110" s="1197"/>
      <c r="AB110" s="1197"/>
      <c r="AC110" s="1197"/>
      <c r="AD110" s="1197"/>
      <c r="AE110" s="1197"/>
      <c r="AF110" s="1197"/>
      <c r="AG110" s="1197"/>
      <c r="AH110" s="1197"/>
      <c r="AI110" s="1197"/>
      <c r="AJ110" s="1197"/>
      <c r="AK110" s="1197"/>
      <c r="AL110" s="1197"/>
      <c r="AM110" s="1197"/>
      <c r="AN110" s="1197"/>
      <c r="AO110" s="1197"/>
      <c r="AP110" s="1197"/>
      <c r="AQ110" s="1197"/>
    </row>
    <row r="111" spans="2:43" s="1200" customFormat="1" ht="11.25" customHeight="1">
      <c r="B111" s="1198">
        <v>45205</v>
      </c>
      <c r="C111" s="1199"/>
      <c r="D111" s="1197" t="s">
        <v>1740</v>
      </c>
      <c r="E111" s="1197" t="s">
        <v>167</v>
      </c>
      <c r="F111" s="1201">
        <v>7.12</v>
      </c>
      <c r="G111" s="1202">
        <v>9.8000000000000007</v>
      </c>
      <c r="H111" s="1202">
        <v>49.23</v>
      </c>
      <c r="I111" s="1203">
        <v>44926</v>
      </c>
      <c r="J111" s="1201" t="s">
        <v>1806</v>
      </c>
      <c r="K111" s="1204">
        <v>11.936563</v>
      </c>
      <c r="L111" s="1204" t="s">
        <v>1846</v>
      </c>
      <c r="M111" s="1205"/>
      <c r="N111" s="1239"/>
      <c r="O111" s="1230"/>
      <c r="P111" s="1230"/>
      <c r="Q111" s="1231"/>
      <c r="R111" s="1230"/>
      <c r="S111" s="1230"/>
      <c r="T111" s="1197"/>
      <c r="U111" s="1197"/>
      <c r="V111" s="1210"/>
      <c r="W111" s="1197"/>
      <c r="X111" s="1197"/>
      <c r="Y111" s="1197"/>
      <c r="Z111" s="1197"/>
      <c r="AA111" s="1197"/>
      <c r="AB111" s="1197"/>
      <c r="AC111" s="1197"/>
      <c r="AD111" s="1197"/>
      <c r="AE111" s="1197"/>
      <c r="AF111" s="1197"/>
      <c r="AG111" s="1197"/>
      <c r="AH111" s="1197"/>
      <c r="AI111" s="1197"/>
      <c r="AJ111" s="1197"/>
      <c r="AK111" s="1197"/>
      <c r="AL111" s="1197"/>
      <c r="AM111" s="1197"/>
      <c r="AN111" s="1197"/>
      <c r="AO111" s="1197"/>
      <c r="AP111" s="1197"/>
      <c r="AQ111" s="1197"/>
    </row>
    <row r="112" spans="2:43" s="1200" customFormat="1" ht="11.25" customHeight="1">
      <c r="B112" s="1198">
        <v>45211</v>
      </c>
      <c r="C112" s="1199"/>
      <c r="D112" s="1197" t="s">
        <v>1828</v>
      </c>
      <c r="E112" s="1197" t="s">
        <v>178</v>
      </c>
      <c r="F112" s="1201">
        <v>6.4</v>
      </c>
      <c r="G112" s="1202">
        <v>9.1999999999999993</v>
      </c>
      <c r="H112" s="1202">
        <v>48</v>
      </c>
      <c r="I112" s="1203">
        <v>45412</v>
      </c>
      <c r="J112" s="1201" t="s">
        <v>47</v>
      </c>
      <c r="K112" s="1204">
        <v>11.734999999999999</v>
      </c>
      <c r="L112" s="1204" t="s">
        <v>1627</v>
      </c>
      <c r="M112" s="1236"/>
      <c r="N112" s="1239"/>
      <c r="O112" s="1230"/>
      <c r="P112" s="1230"/>
      <c r="Q112" s="1231"/>
      <c r="R112" s="1230"/>
      <c r="S112" s="1230"/>
      <c r="T112" s="1197"/>
      <c r="U112" s="1197"/>
      <c r="V112" s="1210"/>
      <c r="W112" s="1197"/>
      <c r="X112" s="1197"/>
      <c r="Y112" s="1197"/>
      <c r="Z112" s="1197"/>
      <c r="AA112" s="1197"/>
      <c r="AB112" s="1197"/>
      <c r="AC112" s="1197"/>
      <c r="AD112" s="1197"/>
      <c r="AE112" s="1197"/>
      <c r="AF112" s="1197"/>
      <c r="AG112" s="1197"/>
      <c r="AH112" s="1197"/>
      <c r="AI112" s="1197"/>
      <c r="AJ112" s="1197"/>
      <c r="AK112" s="1197"/>
      <c r="AL112" s="1197"/>
      <c r="AM112" s="1197"/>
      <c r="AN112" s="1197"/>
      <c r="AO112" s="1197"/>
      <c r="AP112" s="1197"/>
      <c r="AQ112" s="1197"/>
    </row>
    <row r="113" spans="2:43" s="1200" customFormat="1" ht="11.25" customHeight="1">
      <c r="B113" s="1198">
        <v>45211</v>
      </c>
      <c r="C113" s="1199"/>
      <c r="D113" s="1197" t="s">
        <v>1829</v>
      </c>
      <c r="E113" s="1197" t="s">
        <v>178</v>
      </c>
      <c r="F113" s="1201">
        <v>6.67</v>
      </c>
      <c r="G113" s="1202">
        <v>9.1999999999999993</v>
      </c>
      <c r="H113" s="1202">
        <v>48</v>
      </c>
      <c r="I113" s="1203">
        <v>45412</v>
      </c>
      <c r="J113" s="1201" t="s">
        <v>47</v>
      </c>
      <c r="K113" s="1204">
        <v>18.236999999999998</v>
      </c>
      <c r="L113" s="1204" t="s">
        <v>1627</v>
      </c>
      <c r="M113" s="1236"/>
      <c r="N113" s="1239"/>
      <c r="O113" s="1230"/>
      <c r="P113" s="1230"/>
      <c r="Q113" s="1231"/>
      <c r="R113" s="1230"/>
      <c r="S113" s="1230"/>
      <c r="T113" s="1197"/>
      <c r="U113" s="1197"/>
      <c r="V113" s="1210"/>
      <c r="W113" s="1197"/>
      <c r="X113" s="1197"/>
      <c r="Y113" s="1197"/>
      <c r="Z113" s="1197"/>
      <c r="AA113" s="1197"/>
      <c r="AB113" s="1197"/>
      <c r="AC113" s="1197"/>
      <c r="AD113" s="1197"/>
      <c r="AE113" s="1197"/>
      <c r="AF113" s="1197"/>
      <c r="AG113" s="1197"/>
      <c r="AH113" s="1197"/>
      <c r="AI113" s="1197"/>
      <c r="AJ113" s="1197"/>
      <c r="AK113" s="1197"/>
      <c r="AL113" s="1197"/>
      <c r="AM113" s="1197"/>
      <c r="AN113" s="1197"/>
      <c r="AO113" s="1197"/>
      <c r="AP113" s="1197"/>
      <c r="AQ113" s="1197"/>
    </row>
    <row r="114" spans="2:43" s="1200" customFormat="1" ht="11.25" customHeight="1">
      <c r="B114" s="1198">
        <v>45224</v>
      </c>
      <c r="C114" s="1199"/>
      <c r="D114" s="1197" t="s">
        <v>1686</v>
      </c>
      <c r="E114" s="1197" t="s">
        <v>1404</v>
      </c>
      <c r="F114" s="1201">
        <v>6.67</v>
      </c>
      <c r="G114" s="1202">
        <v>9.5500000000000007</v>
      </c>
      <c r="H114" s="1202">
        <v>48.02</v>
      </c>
      <c r="I114" s="1203">
        <v>44561</v>
      </c>
      <c r="J114" s="1201" t="s">
        <v>47</v>
      </c>
      <c r="K114" s="1204">
        <v>14.060425</v>
      </c>
      <c r="L114" s="1204" t="s">
        <v>1622</v>
      </c>
      <c r="M114" s="1236"/>
      <c r="N114" s="1239"/>
      <c r="O114" s="1230"/>
      <c r="P114" s="1230"/>
      <c r="Q114" s="1231"/>
      <c r="R114" s="1230"/>
      <c r="S114" s="1230"/>
      <c r="T114" s="1197"/>
      <c r="U114" s="1197"/>
      <c r="V114" s="1210"/>
      <c r="W114" s="1197"/>
      <c r="X114" s="1197"/>
      <c r="Y114" s="1197"/>
      <c r="Z114" s="1197"/>
      <c r="AA114" s="1197"/>
      <c r="AB114" s="1197"/>
      <c r="AC114" s="1197"/>
      <c r="AD114" s="1197"/>
      <c r="AE114" s="1197"/>
      <c r="AF114" s="1197"/>
      <c r="AG114" s="1197"/>
      <c r="AH114" s="1197"/>
      <c r="AI114" s="1197"/>
      <c r="AJ114" s="1197"/>
      <c r="AK114" s="1197"/>
      <c r="AL114" s="1197"/>
      <c r="AM114" s="1197"/>
      <c r="AN114" s="1197"/>
      <c r="AO114" s="1197"/>
      <c r="AP114" s="1197"/>
      <c r="AQ114" s="1197"/>
    </row>
    <row r="115" spans="2:43" s="1200" customFormat="1" ht="11.25" customHeight="1">
      <c r="B115" s="1198">
        <v>45225</v>
      </c>
      <c r="C115" s="1199"/>
      <c r="D115" s="1197" t="s">
        <v>1847</v>
      </c>
      <c r="E115" s="1197" t="s">
        <v>216</v>
      </c>
      <c r="F115" s="1201" t="s">
        <v>1806</v>
      </c>
      <c r="G115" s="1202" t="s">
        <v>1806</v>
      </c>
      <c r="H115" s="1202" t="s">
        <v>1806</v>
      </c>
      <c r="I115" s="1203">
        <v>11840</v>
      </c>
      <c r="J115" s="1201" t="s">
        <v>1806</v>
      </c>
      <c r="K115" s="1204">
        <v>5.2</v>
      </c>
      <c r="L115" s="1204" t="s">
        <v>1290</v>
      </c>
      <c r="M115" s="1236"/>
      <c r="N115" s="1239"/>
      <c r="O115" s="1230"/>
      <c r="P115" s="1230"/>
      <c r="Q115" s="1231"/>
      <c r="R115" s="1230"/>
      <c r="S115" s="1230"/>
      <c r="T115" s="1197"/>
      <c r="U115" s="1197"/>
      <c r="V115" s="1210"/>
      <c r="W115" s="1197"/>
      <c r="X115" s="1197"/>
      <c r="Y115" s="1197"/>
      <c r="Z115" s="1197"/>
      <c r="AA115" s="1197"/>
      <c r="AB115" s="1197"/>
      <c r="AC115" s="1197"/>
      <c r="AD115" s="1197"/>
      <c r="AE115" s="1197"/>
      <c r="AF115" s="1197"/>
      <c r="AG115" s="1197"/>
      <c r="AH115" s="1197"/>
      <c r="AI115" s="1197"/>
      <c r="AJ115" s="1197"/>
      <c r="AK115" s="1197"/>
      <c r="AL115" s="1197"/>
      <c r="AM115" s="1197"/>
      <c r="AN115" s="1197"/>
      <c r="AO115" s="1197"/>
      <c r="AP115" s="1197"/>
      <c r="AQ115" s="1197"/>
    </row>
    <row r="116" spans="2:43" s="1200" customFormat="1" ht="11.25" customHeight="1">
      <c r="B116" s="1198">
        <v>45225</v>
      </c>
      <c r="C116" s="1199"/>
      <c r="D116" s="1197" t="s">
        <v>1848</v>
      </c>
      <c r="E116" s="1197" t="s">
        <v>142</v>
      </c>
      <c r="F116" s="1201">
        <v>6.72</v>
      </c>
      <c r="G116" s="1202">
        <v>9.65</v>
      </c>
      <c r="H116" s="1202">
        <v>53</v>
      </c>
      <c r="I116" s="1203">
        <v>45291</v>
      </c>
      <c r="J116" s="1201" t="s">
        <v>47</v>
      </c>
      <c r="K116" s="1204">
        <v>28.803999999999998</v>
      </c>
      <c r="L116" s="1204" t="s">
        <v>1622</v>
      </c>
      <c r="M116" s="1236"/>
      <c r="N116" s="1239"/>
      <c r="O116" s="1230"/>
      <c r="P116" s="1230"/>
      <c r="Q116" s="1231"/>
      <c r="R116" s="1230"/>
      <c r="S116" s="1230"/>
      <c r="T116" s="1197"/>
      <c r="U116" s="1197"/>
      <c r="V116" s="1210"/>
      <c r="W116" s="1197"/>
      <c r="X116" s="1197"/>
      <c r="Y116" s="1197"/>
      <c r="Z116" s="1197"/>
      <c r="AA116" s="1197"/>
      <c r="AB116" s="1197"/>
      <c r="AC116" s="1197"/>
      <c r="AD116" s="1197"/>
      <c r="AE116" s="1197"/>
      <c r="AF116" s="1197"/>
      <c r="AG116" s="1197"/>
      <c r="AH116" s="1197"/>
      <c r="AI116" s="1197"/>
      <c r="AJ116" s="1197"/>
      <c r="AK116" s="1197"/>
      <c r="AL116" s="1197"/>
      <c r="AM116" s="1197"/>
      <c r="AN116" s="1197"/>
      <c r="AO116" s="1197"/>
      <c r="AP116" s="1197"/>
      <c r="AQ116" s="1197"/>
    </row>
    <row r="117" spans="2:43" s="1200" customFormat="1" ht="11.25" customHeight="1">
      <c r="B117" s="1198">
        <v>45225</v>
      </c>
      <c r="C117" s="1199"/>
      <c r="D117" s="1197" t="s">
        <v>31</v>
      </c>
      <c r="E117" s="1197" t="s">
        <v>223</v>
      </c>
      <c r="F117" s="1201">
        <v>7.24</v>
      </c>
      <c r="G117" s="1202">
        <v>9.5</v>
      </c>
      <c r="H117" s="1202">
        <v>50</v>
      </c>
      <c r="I117" s="1203">
        <v>45657</v>
      </c>
      <c r="J117" s="1201" t="s">
        <v>47</v>
      </c>
      <c r="K117" s="1204">
        <v>7.16</v>
      </c>
      <c r="L117" s="1204" t="s">
        <v>1290</v>
      </c>
      <c r="M117" s="1236"/>
      <c r="N117" s="1239"/>
      <c r="O117" s="1230"/>
      <c r="P117" s="1230"/>
      <c r="Q117" s="1231"/>
      <c r="R117" s="1230"/>
      <c r="S117" s="1230"/>
      <c r="T117" s="1197"/>
      <c r="U117" s="1197"/>
      <c r="V117" s="1210"/>
      <c r="W117" s="1197"/>
      <c r="X117" s="1197"/>
      <c r="Y117" s="1197"/>
      <c r="Z117" s="1197"/>
      <c r="AA117" s="1197"/>
      <c r="AB117" s="1197"/>
      <c r="AC117" s="1197"/>
      <c r="AD117" s="1197"/>
      <c r="AE117" s="1197"/>
      <c r="AF117" s="1197"/>
      <c r="AG117" s="1197"/>
      <c r="AH117" s="1197"/>
      <c r="AI117" s="1197"/>
      <c r="AJ117" s="1197"/>
      <c r="AK117" s="1197"/>
      <c r="AL117" s="1197"/>
      <c r="AM117" s="1197"/>
      <c r="AN117" s="1197"/>
      <c r="AO117" s="1197"/>
      <c r="AP117" s="1197"/>
      <c r="AQ117" s="1197"/>
    </row>
    <row r="118" spans="2:43" s="1200" customFormat="1" ht="11.25" customHeight="1">
      <c r="B118" s="1198">
        <v>45229</v>
      </c>
      <c r="C118" s="1199"/>
      <c r="D118" s="1197" t="s">
        <v>1756</v>
      </c>
      <c r="E118" s="1197" t="s">
        <v>208</v>
      </c>
      <c r="F118" s="1201" t="s">
        <v>1806</v>
      </c>
      <c r="G118" s="1202" t="s">
        <v>1806</v>
      </c>
      <c r="H118" s="1202" t="s">
        <v>1806</v>
      </c>
      <c r="I118" s="1203" t="s">
        <v>1806</v>
      </c>
      <c r="J118" s="1201" t="s">
        <v>1806</v>
      </c>
      <c r="K118" s="1204">
        <v>25.42146</v>
      </c>
      <c r="L118" s="1229">
        <v>25</v>
      </c>
      <c r="M118" s="1205"/>
      <c r="N118" s="1239"/>
      <c r="O118" s="1230"/>
      <c r="P118" s="1230"/>
      <c r="Q118" s="1231"/>
      <c r="R118" s="1230"/>
      <c r="S118" s="1230"/>
      <c r="T118" s="1197"/>
      <c r="U118" s="1197"/>
      <c r="V118" s="1210"/>
      <c r="W118" s="1197"/>
      <c r="X118" s="1197"/>
      <c r="Y118" s="1197"/>
      <c r="Z118" s="1197"/>
      <c r="AA118" s="1197"/>
      <c r="AB118" s="1197"/>
      <c r="AC118" s="1197"/>
      <c r="AD118" s="1197"/>
      <c r="AE118" s="1197"/>
      <c r="AF118" s="1197"/>
      <c r="AG118" s="1197"/>
      <c r="AH118" s="1197"/>
      <c r="AI118" s="1197"/>
      <c r="AJ118" s="1197"/>
      <c r="AK118" s="1197"/>
      <c r="AL118" s="1197"/>
      <c r="AM118" s="1197"/>
      <c r="AN118" s="1197"/>
      <c r="AO118" s="1197"/>
      <c r="AP118" s="1197"/>
      <c r="AQ118" s="1197"/>
    </row>
    <row r="119" spans="2:43" s="1200" customFormat="1" ht="11.25" customHeight="1">
      <c r="B119" s="1198">
        <v>45231</v>
      </c>
      <c r="C119" s="1199"/>
      <c r="D119" s="1197" t="s">
        <v>189</v>
      </c>
      <c r="E119" s="1197" t="s">
        <v>163</v>
      </c>
      <c r="F119" s="1201">
        <v>6.96</v>
      </c>
      <c r="G119" s="1202">
        <v>9.6</v>
      </c>
      <c r="H119" s="1202">
        <v>52.32</v>
      </c>
      <c r="I119" s="1203">
        <v>44926</v>
      </c>
      <c r="J119" s="1201" t="s">
        <v>1849</v>
      </c>
      <c r="K119" s="1204">
        <v>31.689742000000003</v>
      </c>
      <c r="L119" s="1204" t="s">
        <v>1290</v>
      </c>
      <c r="M119" s="1236"/>
      <c r="N119" s="1239"/>
      <c r="O119" s="1230"/>
      <c r="P119" s="1230"/>
      <c r="Q119" s="1231"/>
      <c r="R119" s="1230"/>
      <c r="S119" s="1230"/>
      <c r="T119" s="1197"/>
      <c r="U119" s="1197"/>
      <c r="V119" s="1210"/>
      <c r="W119" s="1197"/>
      <c r="X119" s="1197"/>
      <c r="Y119" s="1197"/>
      <c r="Z119" s="1197"/>
      <c r="AA119" s="1197"/>
      <c r="AB119" s="1197"/>
      <c r="AC119" s="1197"/>
      <c r="AD119" s="1197"/>
      <c r="AE119" s="1197"/>
      <c r="AF119" s="1197"/>
      <c r="AG119" s="1197"/>
      <c r="AH119" s="1197"/>
      <c r="AI119" s="1197"/>
      <c r="AJ119" s="1197"/>
      <c r="AK119" s="1197"/>
      <c r="AL119" s="1197"/>
      <c r="AM119" s="1197"/>
      <c r="AN119" s="1197"/>
      <c r="AO119" s="1197"/>
      <c r="AP119" s="1197"/>
      <c r="AQ119" s="1197"/>
    </row>
    <row r="120" spans="2:43" s="1200" customFormat="1" ht="11.25" customHeight="1">
      <c r="B120" s="1198">
        <v>45233</v>
      </c>
      <c r="C120" s="1199"/>
      <c r="D120" s="1197" t="s">
        <v>1830</v>
      </c>
      <c r="E120" s="1197" t="s">
        <v>147</v>
      </c>
      <c r="F120" s="1201">
        <v>7.8</v>
      </c>
      <c r="G120" s="1202">
        <v>9.6999999999999993</v>
      </c>
      <c r="H120" s="1202">
        <v>56.06</v>
      </c>
      <c r="I120" s="1203">
        <v>46022</v>
      </c>
      <c r="J120" s="1201" t="s">
        <v>47</v>
      </c>
      <c r="K120" s="1204">
        <v>8.5860000000000003</v>
      </c>
      <c r="L120" s="1204" t="s">
        <v>1624</v>
      </c>
      <c r="M120" s="1236"/>
      <c r="N120" s="1230"/>
      <c r="O120" s="1230"/>
      <c r="P120" s="1197"/>
      <c r="Q120" s="1231"/>
      <c r="R120" s="1230"/>
      <c r="S120" s="1230"/>
      <c r="T120" s="1197"/>
      <c r="U120" s="1197"/>
      <c r="V120" s="1210"/>
      <c r="W120" s="1197"/>
      <c r="X120" s="1197"/>
      <c r="Y120" s="1197"/>
      <c r="Z120" s="1197"/>
      <c r="AA120" s="1197"/>
      <c r="AB120" s="1197"/>
      <c r="AC120" s="1197"/>
      <c r="AD120" s="1197"/>
      <c r="AE120" s="1197"/>
      <c r="AF120" s="1197"/>
      <c r="AG120" s="1197"/>
      <c r="AH120" s="1197"/>
      <c r="AI120" s="1197"/>
      <c r="AJ120" s="1197"/>
      <c r="AK120" s="1197"/>
      <c r="AL120" s="1197"/>
      <c r="AM120" s="1197"/>
      <c r="AN120" s="1197"/>
      <c r="AO120" s="1197"/>
      <c r="AP120" s="1197"/>
      <c r="AQ120" s="1197"/>
    </row>
    <row r="121" spans="2:43" s="1200" customFormat="1" ht="11.25" customHeight="1">
      <c r="B121" s="1198">
        <v>45237</v>
      </c>
      <c r="C121" s="1199"/>
      <c r="D121" s="1197" t="s">
        <v>1850</v>
      </c>
      <c r="E121" s="1197" t="s">
        <v>1199</v>
      </c>
      <c r="F121" s="1201">
        <v>6.95</v>
      </c>
      <c r="G121" s="1202">
        <v>9.65</v>
      </c>
      <c r="H121" s="1202">
        <v>51.56</v>
      </c>
      <c r="I121" s="1203">
        <v>44834</v>
      </c>
      <c r="J121" s="1201" t="s">
        <v>1620</v>
      </c>
      <c r="K121" s="1204">
        <v>1.639338</v>
      </c>
      <c r="L121" s="1204" t="s">
        <v>1290</v>
      </c>
      <c r="M121" s="1236"/>
      <c r="N121" s="1239"/>
      <c r="O121" s="1230"/>
      <c r="P121" s="1197"/>
      <c r="Q121" s="1231"/>
      <c r="R121" s="1230"/>
      <c r="S121" s="1230"/>
      <c r="T121" s="1197"/>
      <c r="U121" s="1197"/>
      <c r="V121" s="1210"/>
      <c r="W121" s="1197"/>
      <c r="X121" s="1197"/>
      <c r="Y121" s="1197"/>
      <c r="Z121" s="1197"/>
      <c r="AA121" s="1197"/>
      <c r="AB121" s="1197"/>
      <c r="AC121" s="1197"/>
      <c r="AD121" s="1197"/>
      <c r="AE121" s="1197"/>
      <c r="AF121" s="1197"/>
      <c r="AG121" s="1197"/>
      <c r="AH121" s="1197"/>
      <c r="AI121" s="1197"/>
      <c r="AJ121" s="1197"/>
      <c r="AK121" s="1197"/>
      <c r="AL121" s="1197"/>
      <c r="AM121" s="1197"/>
      <c r="AN121" s="1197"/>
      <c r="AO121" s="1197"/>
      <c r="AP121" s="1197"/>
      <c r="AQ121" s="1197"/>
    </row>
    <row r="122" spans="2:43" s="1200" customFormat="1" ht="11.25" customHeight="1">
      <c r="B122" s="1198">
        <v>45239</v>
      </c>
      <c r="C122" s="1199"/>
      <c r="D122" s="1197" t="s">
        <v>1851</v>
      </c>
      <c r="E122" s="1197" t="s">
        <v>183</v>
      </c>
      <c r="F122" s="1201">
        <v>7.02</v>
      </c>
      <c r="G122" s="1202">
        <v>10.15</v>
      </c>
      <c r="H122" s="1202" t="s">
        <v>1806</v>
      </c>
      <c r="I122" s="1203">
        <v>45657</v>
      </c>
      <c r="J122" s="1201" t="s">
        <v>47</v>
      </c>
      <c r="K122" s="1204">
        <v>106.682569</v>
      </c>
      <c r="L122" s="1204" t="s">
        <v>1518</v>
      </c>
      <c r="M122" s="1236"/>
      <c r="N122" s="1239"/>
      <c r="O122" s="1230"/>
      <c r="P122" s="1230"/>
      <c r="Q122" s="1231"/>
      <c r="R122" s="1230"/>
      <c r="S122" s="1230"/>
      <c r="T122" s="1197"/>
      <c r="U122" s="1197"/>
      <c r="V122" s="1210"/>
      <c r="W122" s="1197"/>
      <c r="X122" s="1197"/>
      <c r="Y122" s="1197"/>
      <c r="Z122" s="1197"/>
      <c r="AA122" s="1197"/>
      <c r="AB122" s="1197"/>
      <c r="AC122" s="1197"/>
      <c r="AD122" s="1197"/>
      <c r="AE122" s="1197"/>
      <c r="AF122" s="1197"/>
      <c r="AG122" s="1197"/>
      <c r="AH122" s="1197"/>
      <c r="AI122" s="1197"/>
      <c r="AJ122" s="1197"/>
      <c r="AK122" s="1197"/>
      <c r="AL122" s="1197"/>
      <c r="AM122" s="1197"/>
      <c r="AN122" s="1197"/>
      <c r="AO122" s="1197"/>
      <c r="AP122" s="1197"/>
      <c r="AQ122" s="1197"/>
    </row>
    <row r="123" spans="2:43" s="1200" customFormat="1" ht="11.25" customHeight="1">
      <c r="B123" s="1198">
        <v>45239</v>
      </c>
      <c r="C123" s="1199"/>
      <c r="D123" s="1197" t="s">
        <v>1656</v>
      </c>
      <c r="E123" s="1197" t="s">
        <v>147</v>
      </c>
      <c r="F123" s="1201">
        <v>7.58</v>
      </c>
      <c r="G123" s="1202">
        <v>9.8000000000000007</v>
      </c>
      <c r="H123" s="1202">
        <v>52.5</v>
      </c>
      <c r="I123" s="1203">
        <v>45657</v>
      </c>
      <c r="J123" s="1201" t="s">
        <v>47</v>
      </c>
      <c r="K123" s="1204">
        <v>5.3936009999999994</v>
      </c>
      <c r="L123" s="1204" t="s">
        <v>1518</v>
      </c>
      <c r="M123" s="1236"/>
      <c r="N123" s="1239"/>
      <c r="O123" s="1230"/>
      <c r="P123" s="1230"/>
      <c r="Q123" s="1231"/>
      <c r="R123" s="1230"/>
      <c r="S123" s="1230"/>
      <c r="T123" s="1197"/>
      <c r="U123" s="1197"/>
      <c r="V123" s="1210"/>
      <c r="W123" s="1197"/>
      <c r="X123" s="1197"/>
      <c r="Y123" s="1197"/>
      <c r="Z123" s="1197"/>
      <c r="AA123" s="1197"/>
      <c r="AB123" s="1197"/>
      <c r="AC123" s="1197"/>
      <c r="AD123" s="1197"/>
      <c r="AE123" s="1197"/>
      <c r="AF123" s="1197"/>
      <c r="AG123" s="1197"/>
      <c r="AH123" s="1197"/>
      <c r="AI123" s="1197"/>
      <c r="AJ123" s="1197"/>
      <c r="AK123" s="1197"/>
      <c r="AL123" s="1197"/>
      <c r="AM123" s="1197"/>
      <c r="AN123" s="1197"/>
      <c r="AO123" s="1197"/>
      <c r="AP123" s="1197"/>
      <c r="AQ123" s="1197"/>
    </row>
    <row r="124" spans="2:43" s="1200" customFormat="1" ht="11.25" customHeight="1">
      <c r="B124" s="1198">
        <v>45239</v>
      </c>
      <c r="C124" s="1199"/>
      <c r="D124" s="1197" t="s">
        <v>1831</v>
      </c>
      <c r="E124" s="1197" t="s">
        <v>147</v>
      </c>
      <c r="F124" s="1201">
        <v>7.42</v>
      </c>
      <c r="G124" s="1202">
        <v>9.8000000000000007</v>
      </c>
      <c r="H124" s="1202">
        <v>53.7</v>
      </c>
      <c r="I124" s="1203">
        <v>46022</v>
      </c>
      <c r="J124" s="1201" t="s">
        <v>47</v>
      </c>
      <c r="K124" s="1204">
        <v>12.702</v>
      </c>
      <c r="L124" s="1204" t="s">
        <v>1624</v>
      </c>
      <c r="M124" s="1236"/>
      <c r="N124" s="1239"/>
      <c r="O124" s="1230"/>
      <c r="P124" s="1230"/>
      <c r="Q124" s="1231"/>
      <c r="R124" s="1230"/>
      <c r="S124" s="1230"/>
      <c r="T124" s="1197"/>
      <c r="U124" s="1197"/>
      <c r="V124" s="1210"/>
      <c r="W124" s="1197"/>
      <c r="X124" s="1197"/>
      <c r="Y124" s="1197"/>
      <c r="Z124" s="1197"/>
      <c r="AA124" s="1197"/>
      <c r="AB124" s="1197"/>
      <c r="AC124" s="1197"/>
      <c r="AD124" s="1197"/>
      <c r="AE124" s="1197"/>
      <c r="AF124" s="1197"/>
      <c r="AG124" s="1197"/>
      <c r="AH124" s="1197"/>
      <c r="AI124" s="1197"/>
      <c r="AJ124" s="1197"/>
      <c r="AK124" s="1197"/>
      <c r="AL124" s="1197"/>
      <c r="AM124" s="1197"/>
      <c r="AN124" s="1197"/>
      <c r="AO124" s="1197"/>
      <c r="AP124" s="1197"/>
      <c r="AQ124" s="1197"/>
    </row>
    <row r="125" spans="2:43" s="1200" customFormat="1" ht="11.25" customHeight="1">
      <c r="B125" s="1198">
        <v>45246</v>
      </c>
      <c r="C125" s="1199"/>
      <c r="D125" s="1197" t="s">
        <v>1711</v>
      </c>
      <c r="E125" s="1197" t="s">
        <v>228</v>
      </c>
      <c r="F125" s="1201" t="s">
        <v>1806</v>
      </c>
      <c r="G125" s="1202" t="s">
        <v>1806</v>
      </c>
      <c r="H125" s="1202" t="s">
        <v>1806</v>
      </c>
      <c r="I125" s="1203">
        <v>45291</v>
      </c>
      <c r="J125" s="1201" t="s">
        <v>47</v>
      </c>
      <c r="K125" s="1204">
        <v>202</v>
      </c>
      <c r="L125" s="1204" t="s">
        <v>1624</v>
      </c>
      <c r="M125" s="1236"/>
      <c r="N125" s="1239"/>
      <c r="O125" s="1230"/>
      <c r="P125" s="1230"/>
      <c r="Q125" s="1231"/>
      <c r="R125" s="1230"/>
      <c r="S125" s="1230"/>
      <c r="T125" s="1197"/>
      <c r="U125" s="1197"/>
      <c r="V125" s="1210"/>
      <c r="W125" s="1197"/>
      <c r="X125" s="1197"/>
      <c r="Y125" s="1197"/>
      <c r="Z125" s="1197"/>
      <c r="AA125" s="1197"/>
      <c r="AB125" s="1197"/>
      <c r="AC125" s="1197"/>
      <c r="AD125" s="1197"/>
      <c r="AE125" s="1197"/>
      <c r="AF125" s="1197"/>
      <c r="AG125" s="1197"/>
      <c r="AH125" s="1197"/>
      <c r="AI125" s="1197"/>
      <c r="AJ125" s="1197"/>
      <c r="AK125" s="1197"/>
      <c r="AL125" s="1197"/>
      <c r="AM125" s="1197"/>
      <c r="AN125" s="1197"/>
      <c r="AO125" s="1197"/>
      <c r="AP125" s="1197"/>
      <c r="AQ125" s="1197"/>
    </row>
    <row r="126" spans="2:43" s="1200" customFormat="1" ht="11.25" customHeight="1">
      <c r="B126" s="1198">
        <v>45246</v>
      </c>
      <c r="C126" s="1199"/>
      <c r="D126" s="1197" t="s">
        <v>148</v>
      </c>
      <c r="E126" s="1197" t="s">
        <v>149</v>
      </c>
      <c r="F126" s="1201">
        <v>6.85</v>
      </c>
      <c r="G126" s="1202">
        <v>9.44</v>
      </c>
      <c r="H126" s="1202">
        <v>50</v>
      </c>
      <c r="I126" s="1203">
        <v>45657</v>
      </c>
      <c r="J126" s="1201" t="s">
        <v>47</v>
      </c>
      <c r="K126" s="1204">
        <v>111.8</v>
      </c>
      <c r="L126" s="1204" t="s">
        <v>1518</v>
      </c>
      <c r="M126" s="1236"/>
      <c r="N126" s="1239"/>
      <c r="O126" s="1230"/>
      <c r="P126" s="1230"/>
      <c r="Q126" s="1231"/>
      <c r="R126" s="1230"/>
      <c r="S126" s="1230"/>
      <c r="T126" s="1197"/>
      <c r="U126" s="1197"/>
      <c r="V126" s="1210"/>
      <c r="W126" s="1197"/>
      <c r="X126" s="1197"/>
      <c r="Y126" s="1197"/>
      <c r="Z126" s="1197"/>
      <c r="AA126" s="1197"/>
      <c r="AB126" s="1197"/>
      <c r="AC126" s="1197"/>
      <c r="AD126" s="1197"/>
      <c r="AE126" s="1197"/>
      <c r="AF126" s="1197"/>
      <c r="AG126" s="1197"/>
      <c r="AH126" s="1197"/>
      <c r="AI126" s="1197"/>
      <c r="AJ126" s="1197"/>
      <c r="AK126" s="1197"/>
      <c r="AL126" s="1197"/>
      <c r="AM126" s="1197"/>
      <c r="AN126" s="1197"/>
      <c r="AO126" s="1197"/>
      <c r="AP126" s="1197"/>
      <c r="AQ126" s="1197"/>
    </row>
    <row r="127" spans="2:43" s="1200" customFormat="1" ht="11.25" customHeight="1">
      <c r="B127" s="1198">
        <v>45246</v>
      </c>
      <c r="C127" s="1199"/>
      <c r="D127" s="1197" t="s">
        <v>1852</v>
      </c>
      <c r="E127" s="1197" t="s">
        <v>149</v>
      </c>
      <c r="F127" s="1201">
        <v>6.96</v>
      </c>
      <c r="G127" s="1202">
        <v>9.3800000000000008</v>
      </c>
      <c r="H127" s="1202">
        <v>52.58</v>
      </c>
      <c r="I127" s="1203">
        <v>45657</v>
      </c>
      <c r="J127" s="1201" t="s">
        <v>47</v>
      </c>
      <c r="K127" s="1204">
        <v>11.012</v>
      </c>
      <c r="L127" s="1204" t="s">
        <v>1518</v>
      </c>
      <c r="M127" s="1236"/>
      <c r="N127" s="1239"/>
      <c r="O127" s="1230"/>
      <c r="P127" s="1230"/>
      <c r="Q127" s="1231"/>
      <c r="R127" s="1230"/>
      <c r="S127" s="1230"/>
      <c r="T127" s="1197"/>
      <c r="U127" s="1197"/>
      <c r="V127" s="1210"/>
      <c r="W127" s="1197"/>
      <c r="X127" s="1197"/>
      <c r="Y127" s="1197"/>
      <c r="Z127" s="1197"/>
      <c r="AA127" s="1197"/>
      <c r="AB127" s="1197"/>
      <c r="AC127" s="1197"/>
      <c r="AD127" s="1197"/>
      <c r="AE127" s="1197"/>
      <c r="AF127" s="1197"/>
      <c r="AG127" s="1197"/>
      <c r="AH127" s="1197"/>
      <c r="AI127" s="1197"/>
      <c r="AJ127" s="1197"/>
      <c r="AK127" s="1197"/>
      <c r="AL127" s="1197"/>
      <c r="AM127" s="1197"/>
      <c r="AN127" s="1197"/>
      <c r="AO127" s="1197"/>
      <c r="AP127" s="1197"/>
      <c r="AQ127" s="1197"/>
    </row>
    <row r="128" spans="2:43" s="1200" customFormat="1" ht="11.25" customHeight="1">
      <c r="B128" s="1198">
        <v>45246</v>
      </c>
      <c r="C128" s="1199"/>
      <c r="D128" s="1197" t="s">
        <v>1853</v>
      </c>
      <c r="E128" s="1197" t="s">
        <v>149</v>
      </c>
      <c r="F128" s="1201">
        <v>6.68</v>
      </c>
      <c r="G128" s="1202">
        <v>9.51</v>
      </c>
      <c r="H128" s="1202">
        <v>50</v>
      </c>
      <c r="I128" s="1203">
        <v>45657</v>
      </c>
      <c r="J128" s="1201" t="s">
        <v>47</v>
      </c>
      <c r="K128" s="1204">
        <v>223.03299999999999</v>
      </c>
      <c r="L128" s="1204" t="s">
        <v>1518</v>
      </c>
      <c r="M128" s="1236"/>
      <c r="N128" s="1239"/>
      <c r="O128" s="1230"/>
      <c r="P128" s="1230"/>
      <c r="Q128" s="1231"/>
      <c r="R128" s="1230"/>
      <c r="S128" s="1230"/>
      <c r="T128" s="1197"/>
      <c r="U128" s="1197"/>
      <c r="V128" s="1210"/>
      <c r="W128" s="1197"/>
      <c r="X128" s="1197"/>
      <c r="Y128" s="1197"/>
      <c r="Z128" s="1197"/>
      <c r="AA128" s="1197"/>
      <c r="AB128" s="1197"/>
      <c r="AC128" s="1197"/>
      <c r="AD128" s="1197"/>
      <c r="AE128" s="1197"/>
      <c r="AF128" s="1197"/>
      <c r="AG128" s="1197"/>
      <c r="AH128" s="1197"/>
      <c r="AI128" s="1197"/>
      <c r="AJ128" s="1197"/>
      <c r="AK128" s="1197"/>
      <c r="AL128" s="1197"/>
      <c r="AM128" s="1197"/>
      <c r="AN128" s="1197"/>
      <c r="AO128" s="1197"/>
      <c r="AP128" s="1197"/>
      <c r="AQ128" s="1197"/>
    </row>
    <row r="129" spans="1:43" s="1200" customFormat="1" ht="11.25" customHeight="1">
      <c r="B129" s="1198">
        <v>45246</v>
      </c>
      <c r="C129" s="1199"/>
      <c r="D129" s="1197" t="s">
        <v>1854</v>
      </c>
      <c r="E129" s="1197" t="s">
        <v>149</v>
      </c>
      <c r="F129" s="1201">
        <v>6.65</v>
      </c>
      <c r="G129" s="1202">
        <v>9.3800000000000008</v>
      </c>
      <c r="H129" s="1202">
        <v>50.79</v>
      </c>
      <c r="I129" s="1203">
        <v>45657</v>
      </c>
      <c r="J129" s="1201" t="s">
        <v>47</v>
      </c>
      <c r="K129" s="1204">
        <v>302.79399999999998</v>
      </c>
      <c r="L129" s="1204" t="s">
        <v>1518</v>
      </c>
      <c r="M129" s="1236"/>
      <c r="N129" s="1239"/>
      <c r="O129" s="1230"/>
      <c r="P129" s="1230"/>
      <c r="Q129" s="1231"/>
      <c r="R129" s="1230"/>
      <c r="S129" s="1230"/>
      <c r="T129" s="1197"/>
      <c r="U129" s="1197"/>
      <c r="V129" s="1210"/>
      <c r="W129" s="1197"/>
      <c r="X129" s="1197"/>
      <c r="Y129" s="1197"/>
      <c r="Z129" s="1197"/>
      <c r="AA129" s="1197"/>
      <c r="AB129" s="1197"/>
      <c r="AC129" s="1197"/>
      <c r="AD129" s="1197"/>
      <c r="AE129" s="1197"/>
      <c r="AF129" s="1197"/>
      <c r="AG129" s="1197"/>
      <c r="AH129" s="1197"/>
      <c r="AI129" s="1197"/>
      <c r="AJ129" s="1197"/>
      <c r="AK129" s="1197"/>
      <c r="AL129" s="1197"/>
      <c r="AM129" s="1197"/>
      <c r="AN129" s="1197"/>
      <c r="AO129" s="1197"/>
      <c r="AP129" s="1197"/>
      <c r="AQ129" s="1197"/>
    </row>
    <row r="130" spans="1:43" s="1200" customFormat="1" ht="11.25" customHeight="1">
      <c r="B130" s="1198">
        <v>45264</v>
      </c>
      <c r="C130" s="1199"/>
      <c r="D130" s="1197" t="s">
        <v>1654</v>
      </c>
      <c r="E130" s="1197" t="s">
        <v>167</v>
      </c>
      <c r="F130" s="1201">
        <v>6.95</v>
      </c>
      <c r="G130" s="1202">
        <v>9.8000000000000007</v>
      </c>
      <c r="H130" s="1202">
        <v>50.09</v>
      </c>
      <c r="I130" s="1203">
        <v>44926</v>
      </c>
      <c r="J130" s="1201" t="s">
        <v>47</v>
      </c>
      <c r="K130" s="1204">
        <v>40.208694000000001</v>
      </c>
      <c r="L130" s="1204" t="s">
        <v>1290</v>
      </c>
      <c r="M130" s="1236"/>
      <c r="N130" s="1239"/>
      <c r="O130" s="1230"/>
      <c r="P130" s="1230"/>
      <c r="Q130" s="1231"/>
      <c r="R130" s="1230"/>
      <c r="S130" s="1230"/>
      <c r="T130" s="1197"/>
      <c r="U130" s="1197"/>
      <c r="V130" s="1210"/>
      <c r="W130" s="1197"/>
      <c r="X130" s="1197"/>
      <c r="Y130" s="1197"/>
      <c r="Z130" s="1197"/>
      <c r="AA130" s="1197"/>
      <c r="AB130" s="1197"/>
      <c r="AC130" s="1197"/>
      <c r="AD130" s="1197"/>
      <c r="AE130" s="1197"/>
      <c r="AF130" s="1197"/>
      <c r="AG130" s="1197"/>
      <c r="AH130" s="1197"/>
      <c r="AI130" s="1197"/>
      <c r="AJ130" s="1197"/>
      <c r="AK130" s="1197"/>
      <c r="AL130" s="1197"/>
      <c r="AM130" s="1197"/>
      <c r="AN130" s="1197"/>
      <c r="AO130" s="1197"/>
      <c r="AP130" s="1197"/>
      <c r="AQ130" s="1197"/>
    </row>
    <row r="131" spans="1:43" s="1200" customFormat="1" ht="11.25" customHeight="1">
      <c r="B131" s="1198">
        <v>45274</v>
      </c>
      <c r="C131" s="1199"/>
      <c r="D131" s="1197" t="s">
        <v>1835</v>
      </c>
      <c r="E131" s="1197" t="s">
        <v>216</v>
      </c>
      <c r="F131" s="1201">
        <v>6.74</v>
      </c>
      <c r="G131" s="1202">
        <v>9.4499999999999993</v>
      </c>
      <c r="H131" s="1202">
        <v>52</v>
      </c>
      <c r="I131" s="1203">
        <v>46387</v>
      </c>
      <c r="J131" s="1201" t="s">
        <v>47</v>
      </c>
      <c r="K131" s="1204">
        <v>228.786</v>
      </c>
      <c r="L131" s="1236" t="s">
        <v>1624</v>
      </c>
      <c r="M131" s="1236"/>
      <c r="N131" s="1240"/>
      <c r="O131" s="1230"/>
      <c r="P131" s="1230"/>
      <c r="Q131" s="1231"/>
      <c r="R131" s="1230"/>
      <c r="S131" s="1230"/>
      <c r="T131" s="1197"/>
      <c r="U131" s="1197"/>
      <c r="V131" s="1210"/>
      <c r="W131" s="1197"/>
      <c r="X131" s="1197"/>
      <c r="Y131" s="1197"/>
      <c r="Z131" s="1197"/>
      <c r="AA131" s="1197"/>
      <c r="AB131" s="1197"/>
      <c r="AC131" s="1197"/>
      <c r="AD131" s="1197"/>
      <c r="AE131" s="1197"/>
      <c r="AF131" s="1197"/>
      <c r="AG131" s="1197"/>
      <c r="AH131" s="1197"/>
      <c r="AI131" s="1197"/>
      <c r="AJ131" s="1197"/>
      <c r="AK131" s="1197"/>
      <c r="AL131" s="1197"/>
      <c r="AM131" s="1197"/>
      <c r="AN131" s="1197"/>
      <c r="AO131" s="1197"/>
      <c r="AP131" s="1197"/>
      <c r="AQ131" s="1197"/>
    </row>
    <row r="132" spans="1:43" s="1200" customFormat="1" ht="11.25" customHeight="1">
      <c r="B132" s="1198">
        <v>45274</v>
      </c>
      <c r="C132" s="1199"/>
      <c r="D132" s="1197" t="s">
        <v>1844</v>
      </c>
      <c r="E132" s="1197" t="s">
        <v>216</v>
      </c>
      <c r="F132" s="1201">
        <v>7.04</v>
      </c>
      <c r="G132" s="1202">
        <v>9.5</v>
      </c>
      <c r="H132" s="1202">
        <v>52.6</v>
      </c>
      <c r="I132" s="1203">
        <v>44926</v>
      </c>
      <c r="J132" s="1201" t="s">
        <v>47</v>
      </c>
      <c r="K132" s="1204">
        <v>10.051240999999999</v>
      </c>
      <c r="L132" s="1236" t="s">
        <v>1518</v>
      </c>
      <c r="M132" s="1236"/>
      <c r="N132" s="1240"/>
      <c r="O132" s="1230"/>
      <c r="P132" s="1230"/>
      <c r="Q132" s="1231"/>
      <c r="R132" s="1230"/>
      <c r="S132" s="1230"/>
      <c r="T132" s="1197"/>
      <c r="U132" s="1197"/>
      <c r="V132" s="1210"/>
      <c r="W132" s="1197"/>
      <c r="X132" s="1197"/>
      <c r="Y132" s="1197"/>
      <c r="Z132" s="1197"/>
      <c r="AA132" s="1197"/>
      <c r="AB132" s="1197"/>
      <c r="AC132" s="1197"/>
      <c r="AD132" s="1197"/>
      <c r="AE132" s="1197"/>
      <c r="AF132" s="1197"/>
      <c r="AG132" s="1197"/>
      <c r="AH132" s="1197"/>
      <c r="AI132" s="1197"/>
      <c r="AJ132" s="1197"/>
      <c r="AK132" s="1197"/>
      <c r="AL132" s="1197"/>
      <c r="AM132" s="1197"/>
      <c r="AN132" s="1197"/>
      <c r="AO132" s="1197"/>
      <c r="AP132" s="1197"/>
      <c r="AQ132" s="1197"/>
    </row>
    <row r="133" spans="1:43" s="1200" customFormat="1" ht="11.25" customHeight="1">
      <c r="B133" s="1198">
        <v>45275</v>
      </c>
      <c r="C133" s="1199"/>
      <c r="D133" s="1197" t="s">
        <v>1844</v>
      </c>
      <c r="E133" s="1197" t="s">
        <v>214</v>
      </c>
      <c r="F133" s="1201">
        <v>7.11</v>
      </c>
      <c r="G133" s="1202">
        <v>9.65</v>
      </c>
      <c r="H133" s="1202">
        <v>52</v>
      </c>
      <c r="I133" s="1203">
        <v>44561</v>
      </c>
      <c r="J133" s="1201" t="s">
        <v>47</v>
      </c>
      <c r="K133" s="1204">
        <v>24.595331000000002</v>
      </c>
      <c r="L133" s="1236" t="s">
        <v>1518</v>
      </c>
      <c r="M133" s="1236"/>
      <c r="N133" s="1240"/>
      <c r="O133" s="1230"/>
      <c r="P133" s="1230"/>
      <c r="Q133" s="1231"/>
      <c r="R133" s="1230"/>
      <c r="S133" s="1230"/>
      <c r="T133" s="1197"/>
      <c r="U133" s="1197"/>
      <c r="V133" s="1210"/>
      <c r="W133" s="1197"/>
      <c r="X133" s="1197"/>
      <c r="Y133" s="1197"/>
      <c r="Z133" s="1197"/>
      <c r="AA133" s="1197"/>
      <c r="AB133" s="1197"/>
      <c r="AC133" s="1197"/>
      <c r="AD133" s="1197"/>
      <c r="AE133" s="1197"/>
      <c r="AF133" s="1197"/>
      <c r="AG133" s="1197"/>
      <c r="AH133" s="1197"/>
      <c r="AI133" s="1197"/>
      <c r="AJ133" s="1197"/>
      <c r="AK133" s="1197"/>
      <c r="AL133" s="1197"/>
      <c r="AM133" s="1197"/>
      <c r="AN133" s="1197"/>
      <c r="AO133" s="1197"/>
      <c r="AP133" s="1197"/>
      <c r="AQ133" s="1197"/>
    </row>
    <row r="134" spans="1:43" s="1200" customFormat="1" ht="11.25" customHeight="1">
      <c r="B134" s="1198">
        <v>45279</v>
      </c>
      <c r="C134" s="1199"/>
      <c r="D134" s="1197" t="s">
        <v>1855</v>
      </c>
      <c r="E134" s="1197" t="s">
        <v>171</v>
      </c>
      <c r="F134" s="1201" t="s">
        <v>1806</v>
      </c>
      <c r="G134" s="1202" t="s">
        <v>1806</v>
      </c>
      <c r="H134" s="1202" t="s">
        <v>1806</v>
      </c>
      <c r="I134" s="1203">
        <v>44834</v>
      </c>
      <c r="J134" s="1201" t="s">
        <v>1806</v>
      </c>
      <c r="K134" s="1204">
        <v>7.45</v>
      </c>
      <c r="L134" s="1236" t="s">
        <v>1622</v>
      </c>
      <c r="M134" s="1236"/>
      <c r="N134" s="1240"/>
      <c r="O134" s="1230"/>
      <c r="P134" s="1230"/>
      <c r="Q134" s="1231"/>
      <c r="R134" s="1230"/>
      <c r="S134" s="1230"/>
      <c r="T134" s="1197"/>
      <c r="U134" s="1197"/>
      <c r="V134" s="1210"/>
      <c r="W134" s="1197"/>
      <c r="X134" s="1197"/>
      <c r="Y134" s="1197"/>
      <c r="Z134" s="1197"/>
      <c r="AA134" s="1197"/>
      <c r="AB134" s="1197"/>
      <c r="AC134" s="1197"/>
      <c r="AD134" s="1197"/>
      <c r="AE134" s="1197"/>
      <c r="AF134" s="1197"/>
      <c r="AG134" s="1197"/>
      <c r="AH134" s="1197"/>
      <c r="AI134" s="1197"/>
      <c r="AJ134" s="1197"/>
      <c r="AK134" s="1197"/>
      <c r="AL134" s="1197"/>
      <c r="AM134" s="1197"/>
      <c r="AN134" s="1197"/>
      <c r="AO134" s="1197"/>
      <c r="AP134" s="1197"/>
      <c r="AQ134" s="1197"/>
    </row>
    <row r="135" spans="1:43" s="1200" customFormat="1" ht="11.25" customHeight="1">
      <c r="B135" s="1198">
        <v>45280</v>
      </c>
      <c r="C135" s="1199"/>
      <c r="D135" s="1197" t="s">
        <v>1847</v>
      </c>
      <c r="E135" s="1197" t="s">
        <v>216</v>
      </c>
      <c r="F135" s="1201" t="s">
        <v>1806</v>
      </c>
      <c r="G135" s="1202" t="s">
        <v>1806</v>
      </c>
      <c r="H135" s="1202" t="s">
        <v>1806</v>
      </c>
      <c r="I135" s="1203">
        <v>45657</v>
      </c>
      <c r="J135" s="1201" t="s">
        <v>1806</v>
      </c>
      <c r="K135" s="1204">
        <v>0</v>
      </c>
      <c r="L135" s="1205">
        <v>40</v>
      </c>
      <c r="M135" s="1205"/>
      <c r="N135" s="1240"/>
      <c r="O135" s="1230"/>
      <c r="P135" s="1230"/>
      <c r="Q135" s="1231"/>
      <c r="R135" s="1230"/>
      <c r="S135" s="1230"/>
      <c r="T135" s="1197"/>
      <c r="U135" s="1197"/>
      <c r="V135" s="1210"/>
      <c r="W135" s="1197"/>
      <c r="X135" s="1197"/>
      <c r="Y135" s="1197"/>
      <c r="Z135" s="1197"/>
      <c r="AA135" s="1197"/>
      <c r="AB135" s="1197"/>
      <c r="AC135" s="1197"/>
      <c r="AD135" s="1197"/>
      <c r="AE135" s="1197"/>
      <c r="AF135" s="1197"/>
      <c r="AG135" s="1197"/>
      <c r="AH135" s="1197"/>
      <c r="AI135" s="1197"/>
      <c r="AJ135" s="1197"/>
      <c r="AK135" s="1197"/>
      <c r="AL135" s="1197"/>
      <c r="AM135" s="1197"/>
      <c r="AN135" s="1197"/>
      <c r="AO135" s="1197"/>
      <c r="AP135" s="1197"/>
      <c r="AQ135" s="1197"/>
    </row>
    <row r="136" spans="1:43" s="1200" customFormat="1" ht="11.25" customHeight="1">
      <c r="B136" s="1198">
        <v>45281</v>
      </c>
      <c r="C136" s="1199"/>
      <c r="D136" s="1197" t="s">
        <v>1856</v>
      </c>
      <c r="E136" s="1197" t="s">
        <v>173</v>
      </c>
      <c r="F136" s="1201">
        <v>7.24</v>
      </c>
      <c r="G136" s="1202">
        <v>9.75</v>
      </c>
      <c r="H136" s="1202" t="s">
        <v>1806</v>
      </c>
      <c r="I136" s="1203">
        <v>44926</v>
      </c>
      <c r="J136" s="1201" t="s">
        <v>47</v>
      </c>
      <c r="K136" s="1204">
        <v>13.933</v>
      </c>
      <c r="L136" s="1236" t="s">
        <v>1290</v>
      </c>
      <c r="M136" s="1236"/>
      <c r="N136" s="1240"/>
      <c r="O136" s="1230"/>
      <c r="P136" s="1230"/>
      <c r="Q136" s="1231"/>
      <c r="R136" s="1230"/>
      <c r="S136" s="1230"/>
      <c r="T136" s="1197"/>
      <c r="U136" s="1197"/>
      <c r="V136" s="1210"/>
      <c r="W136" s="1197"/>
      <c r="X136" s="1197"/>
      <c r="Y136" s="1197"/>
      <c r="Z136" s="1197"/>
      <c r="AA136" s="1197"/>
      <c r="AB136" s="1197"/>
      <c r="AC136" s="1197"/>
      <c r="AD136" s="1197"/>
      <c r="AE136" s="1197"/>
      <c r="AF136" s="1197"/>
      <c r="AG136" s="1197"/>
      <c r="AH136" s="1197"/>
      <c r="AI136" s="1197"/>
      <c r="AJ136" s="1197"/>
      <c r="AK136" s="1197"/>
      <c r="AL136" s="1197"/>
      <c r="AM136" s="1197"/>
      <c r="AN136" s="1197"/>
      <c r="AO136" s="1197"/>
      <c r="AP136" s="1197"/>
      <c r="AQ136" s="1197"/>
    </row>
    <row r="137" spans="1:43" s="1200" customFormat="1" ht="11.25" customHeight="1">
      <c r="B137" s="1198">
        <v>45282</v>
      </c>
      <c r="C137" s="1199"/>
      <c r="D137" s="1197" t="s">
        <v>1753</v>
      </c>
      <c r="E137" s="1197" t="s">
        <v>228</v>
      </c>
      <c r="F137" s="1201">
        <v>7.67</v>
      </c>
      <c r="G137" s="1202">
        <v>10.5</v>
      </c>
      <c r="H137" s="1202">
        <v>52</v>
      </c>
      <c r="I137" s="1203" t="s">
        <v>1806</v>
      </c>
      <c r="J137" s="1201" t="s">
        <v>1806</v>
      </c>
      <c r="K137" s="1204">
        <v>77</v>
      </c>
      <c r="L137" s="1229">
        <v>27</v>
      </c>
      <c r="M137" s="1205"/>
      <c r="N137" s="1240"/>
      <c r="O137" s="1230"/>
      <c r="P137" s="1209"/>
      <c r="Q137" s="1231"/>
      <c r="R137" s="1230"/>
      <c r="S137" s="1230"/>
      <c r="T137" s="1197"/>
      <c r="U137" s="1197"/>
      <c r="V137" s="1210"/>
      <c r="W137" s="1197"/>
      <c r="X137" s="1197"/>
      <c r="Y137" s="1197"/>
      <c r="Z137" s="1197"/>
      <c r="AA137" s="1197"/>
      <c r="AB137" s="1197"/>
      <c r="AC137" s="1197"/>
      <c r="AD137" s="1197"/>
      <c r="AE137" s="1197"/>
      <c r="AF137" s="1197"/>
      <c r="AG137" s="1197"/>
      <c r="AH137" s="1197"/>
      <c r="AI137" s="1197"/>
      <c r="AJ137" s="1197"/>
      <c r="AK137" s="1197"/>
      <c r="AL137" s="1197"/>
      <c r="AM137" s="1197"/>
      <c r="AN137" s="1197"/>
      <c r="AO137" s="1197"/>
      <c r="AP137" s="1197"/>
      <c r="AQ137" s="1197"/>
    </row>
    <row r="138" spans="1:43" s="1200" customFormat="1" ht="11.25" customHeight="1">
      <c r="B138" s="1225"/>
      <c r="C138" s="1215"/>
      <c r="D138" s="1241" t="s">
        <v>1773</v>
      </c>
      <c r="E138" s="1217"/>
      <c r="F138" s="1238">
        <v>7</v>
      </c>
      <c r="G138" s="1227">
        <v>9.6300000000000008</v>
      </c>
      <c r="H138" s="1227">
        <v>51.27</v>
      </c>
      <c r="I138" s="1219"/>
      <c r="J138" s="1228"/>
      <c r="K138" s="1141">
        <v>1618.1</v>
      </c>
      <c r="L138" s="1229"/>
      <c r="M138" s="1205"/>
      <c r="N138" s="1230"/>
      <c r="O138" s="1230"/>
      <c r="P138" s="1230"/>
      <c r="Q138" s="1231"/>
      <c r="R138" s="1230"/>
      <c r="S138" s="1230"/>
      <c r="T138" s="1197"/>
      <c r="U138" s="1197"/>
      <c r="V138" s="1210"/>
      <c r="W138" s="1197"/>
      <c r="X138" s="1197"/>
      <c r="Y138" s="1197"/>
      <c r="Z138" s="1197"/>
      <c r="AA138" s="1197"/>
      <c r="AB138" s="1197"/>
      <c r="AC138" s="1197"/>
      <c r="AD138" s="1197"/>
      <c r="AE138" s="1197"/>
      <c r="AF138" s="1197"/>
      <c r="AG138" s="1197"/>
      <c r="AH138" s="1197"/>
      <c r="AI138" s="1197"/>
      <c r="AJ138" s="1197"/>
      <c r="AK138" s="1197"/>
      <c r="AL138" s="1197"/>
      <c r="AM138" s="1197"/>
      <c r="AN138" s="1197"/>
      <c r="AO138" s="1197"/>
      <c r="AP138" s="1197"/>
      <c r="AQ138" s="1197"/>
    </row>
    <row r="139" spans="1:43" s="1200" customFormat="1" ht="11.25" customHeight="1">
      <c r="B139" s="1225"/>
      <c r="C139" s="1215"/>
      <c r="D139" s="1241" t="s">
        <v>324</v>
      </c>
      <c r="E139" s="1217"/>
      <c r="F139" s="1238">
        <v>26</v>
      </c>
      <c r="G139" s="1227">
        <v>26</v>
      </c>
      <c r="H139" s="1227">
        <v>23</v>
      </c>
      <c r="I139" s="1219"/>
      <c r="J139" s="1228"/>
      <c r="K139" s="1227">
        <v>35</v>
      </c>
      <c r="L139" s="1229"/>
      <c r="M139" s="1205"/>
      <c r="N139" s="1230"/>
      <c r="O139" s="1230"/>
      <c r="P139" s="1230"/>
      <c r="Q139" s="1231"/>
      <c r="R139" s="1230"/>
      <c r="S139" s="1230"/>
      <c r="T139" s="1197"/>
      <c r="U139" s="1197"/>
      <c r="V139" s="1210"/>
      <c r="W139" s="1197"/>
      <c r="X139" s="1197"/>
      <c r="Y139" s="1197"/>
      <c r="Z139" s="1197"/>
      <c r="AA139" s="1197"/>
      <c r="AB139" s="1197"/>
      <c r="AC139" s="1197"/>
      <c r="AD139" s="1197"/>
      <c r="AE139" s="1197"/>
      <c r="AF139" s="1197"/>
      <c r="AG139" s="1197"/>
      <c r="AH139" s="1197"/>
      <c r="AI139" s="1197"/>
      <c r="AJ139" s="1197"/>
      <c r="AK139" s="1197"/>
      <c r="AL139" s="1197"/>
      <c r="AM139" s="1197"/>
      <c r="AN139" s="1197"/>
      <c r="AO139" s="1197"/>
      <c r="AP139" s="1197"/>
      <c r="AQ139" s="1197"/>
    </row>
    <row r="140" spans="1:43" s="1200" customFormat="1" ht="11.25" customHeight="1">
      <c r="B140" s="1242" t="s">
        <v>1837</v>
      </c>
      <c r="C140" s="1237"/>
      <c r="D140" s="1241" t="s">
        <v>1774</v>
      </c>
      <c r="E140" s="1217"/>
      <c r="F140" s="1238">
        <v>7.04</v>
      </c>
      <c r="G140" s="1227">
        <v>9.64</v>
      </c>
      <c r="H140" s="1227">
        <v>52.45</v>
      </c>
      <c r="I140" s="1219"/>
      <c r="J140" s="1228"/>
      <c r="K140" s="1141">
        <v>2508.3000000000002</v>
      </c>
      <c r="L140" s="1229"/>
      <c r="M140" s="1205"/>
      <c r="N140" s="1230"/>
      <c r="O140" s="1230"/>
      <c r="P140" s="1230"/>
      <c r="Q140" s="1231"/>
      <c r="R140" s="1230"/>
      <c r="S140" s="1230"/>
      <c r="T140" s="1197"/>
      <c r="U140" s="1197"/>
      <c r="V140" s="1210"/>
      <c r="W140" s="1197"/>
      <c r="X140" s="1197"/>
      <c r="Y140" s="1197"/>
      <c r="Z140" s="1197"/>
      <c r="AA140" s="1197"/>
      <c r="AB140" s="1197"/>
      <c r="AC140" s="1197"/>
      <c r="AD140" s="1197"/>
      <c r="AE140" s="1197"/>
      <c r="AF140" s="1197"/>
      <c r="AG140" s="1197"/>
      <c r="AH140" s="1197"/>
      <c r="AI140" s="1197"/>
      <c r="AJ140" s="1197"/>
      <c r="AK140" s="1197"/>
      <c r="AL140" s="1197"/>
      <c r="AM140" s="1197"/>
      <c r="AN140" s="1197"/>
      <c r="AO140" s="1197"/>
      <c r="AP140" s="1197"/>
      <c r="AQ140" s="1197"/>
    </row>
    <row r="141" spans="1:43" s="1200" customFormat="1" ht="11.25" customHeight="1">
      <c r="B141" s="1225"/>
      <c r="C141" s="1237"/>
      <c r="D141" s="1241" t="s">
        <v>324</v>
      </c>
      <c r="E141" s="1217"/>
      <c r="F141" s="1238">
        <v>44</v>
      </c>
      <c r="G141" s="1227">
        <v>43</v>
      </c>
      <c r="H141" s="1227">
        <v>39</v>
      </c>
      <c r="I141" s="1219"/>
      <c r="J141" s="1228"/>
      <c r="K141" s="1227">
        <v>72</v>
      </c>
      <c r="L141" s="1229"/>
      <c r="M141" s="1205"/>
      <c r="N141" s="1230"/>
      <c r="O141" s="1230"/>
      <c r="P141" s="1230"/>
      <c r="Q141" s="1231"/>
      <c r="R141" s="1230"/>
      <c r="S141" s="1230"/>
      <c r="T141" s="1197"/>
      <c r="U141" s="1197"/>
      <c r="V141" s="1210"/>
      <c r="W141" s="1197"/>
      <c r="X141" s="1197"/>
      <c r="Y141" s="1197"/>
      <c r="Z141" s="1197"/>
      <c r="AA141" s="1197"/>
      <c r="AB141" s="1197"/>
      <c r="AC141" s="1197"/>
      <c r="AD141" s="1197"/>
      <c r="AE141" s="1197"/>
      <c r="AF141" s="1197"/>
      <c r="AG141" s="1197"/>
      <c r="AH141" s="1197"/>
      <c r="AI141" s="1197"/>
      <c r="AJ141" s="1197"/>
      <c r="AK141" s="1197"/>
      <c r="AL141" s="1197"/>
      <c r="AM141" s="1197"/>
      <c r="AN141" s="1197"/>
      <c r="AO141" s="1197"/>
      <c r="AP141" s="1197"/>
      <c r="AQ141" s="1197"/>
    </row>
    <row r="142" spans="1:43" s="1053" customFormat="1" ht="11.25" customHeight="1">
      <c r="A142" s="1086"/>
      <c r="B142" s="1130"/>
      <c r="C142" s="1243"/>
      <c r="D142" s="1121"/>
      <c r="E142" s="1244"/>
      <c r="F142" s="1245"/>
      <c r="G142" s="1131"/>
      <c r="H142" s="1131"/>
      <c r="I142" s="1124"/>
      <c r="J142" s="1246"/>
      <c r="K142" s="1131"/>
      <c r="L142" s="1247"/>
      <c r="M142" s="1054"/>
      <c r="N142" s="1055"/>
      <c r="O142" s="1055"/>
      <c r="P142" s="1055"/>
      <c r="Q142" s="1094"/>
      <c r="R142" s="1055"/>
      <c r="S142" s="1055"/>
      <c r="V142" s="1052"/>
    </row>
    <row r="143" spans="1:43" s="1053" customFormat="1" ht="11.25" customHeight="1">
      <c r="A143" s="1086"/>
      <c r="B143" s="1130"/>
      <c r="C143" s="1243"/>
      <c r="D143" s="1121"/>
      <c r="E143" s="1244"/>
      <c r="F143" s="1245"/>
      <c r="G143" s="1131"/>
      <c r="H143" s="1131"/>
      <c r="I143" s="1124"/>
      <c r="J143" s="1246"/>
      <c r="K143" s="1131"/>
      <c r="L143" s="1247"/>
      <c r="M143" s="1054"/>
      <c r="N143" s="1055"/>
      <c r="O143" s="1055"/>
      <c r="P143" s="1055"/>
      <c r="Q143" s="1094"/>
      <c r="R143" s="1055"/>
      <c r="S143" s="1055"/>
      <c r="V143" s="1052"/>
    </row>
    <row r="144" spans="1:43" s="1053" customFormat="1" ht="11.25" customHeight="1">
      <c r="A144" s="1086"/>
      <c r="B144" s="1130"/>
      <c r="C144" s="1120"/>
      <c r="D144" s="1157"/>
      <c r="E144" s="1248"/>
      <c r="F144" s="1248"/>
      <c r="G144" s="1248"/>
      <c r="H144" s="1248"/>
      <c r="I144" s="1248"/>
      <c r="J144" s="1248"/>
      <c r="K144" s="1248"/>
      <c r="L144" s="1248"/>
      <c r="M144" s="1249"/>
      <c r="N144" s="1250"/>
      <c r="O144" s="1250"/>
      <c r="P144" s="1251"/>
      <c r="Q144" s="1250"/>
      <c r="R144" s="1250"/>
      <c r="S144" s="1250"/>
      <c r="T144" s="1250"/>
      <c r="V144" s="1052"/>
    </row>
    <row r="145" spans="1:43" s="1053" customFormat="1" ht="11.25" customHeight="1">
      <c r="A145" s="1086"/>
      <c r="B145" s="1252" t="s">
        <v>1857</v>
      </c>
      <c r="C145" s="1248"/>
      <c r="D145" s="1250"/>
      <c r="E145" s="1248"/>
      <c r="F145" s="1253"/>
      <c r="G145" s="1248"/>
      <c r="H145" s="1253"/>
      <c r="I145" s="1248"/>
      <c r="J145" s="1253"/>
      <c r="K145" s="1248"/>
      <c r="L145" s="1248"/>
      <c r="M145" s="1249"/>
      <c r="N145" s="1250"/>
      <c r="O145" s="1250"/>
      <c r="P145" s="1251"/>
      <c r="Q145" s="1250"/>
      <c r="R145" s="1250"/>
      <c r="S145" s="1250"/>
      <c r="T145" s="1250"/>
      <c r="V145" s="1052"/>
    </row>
    <row r="146" spans="1:43" s="1053" customFormat="1" ht="11.25" customHeight="1">
      <c r="A146" s="1086"/>
      <c r="B146" s="1252" t="s">
        <v>1858</v>
      </c>
      <c r="C146" s="1250"/>
      <c r="D146" s="1250"/>
      <c r="E146" s="1248"/>
      <c r="F146" s="1253"/>
      <c r="G146" s="1248"/>
      <c r="H146" s="1253"/>
      <c r="I146" s="1248"/>
      <c r="J146" s="1253"/>
      <c r="K146" s="1248"/>
      <c r="L146" s="1248"/>
      <c r="M146" s="1249"/>
      <c r="N146" s="1250"/>
      <c r="O146" s="1250"/>
      <c r="P146" s="1251"/>
      <c r="Q146" s="1250"/>
      <c r="R146" s="1250"/>
      <c r="S146" s="1250"/>
      <c r="T146" s="1250"/>
      <c r="V146" s="1052"/>
    </row>
    <row r="147" spans="1:43" s="1053" customFormat="1" ht="11.25" customHeight="1">
      <c r="A147" s="1086"/>
      <c r="B147" s="1252" t="s">
        <v>1665</v>
      </c>
      <c r="C147" s="1248"/>
      <c r="D147" s="1248"/>
      <c r="E147" s="1248"/>
      <c r="F147" s="1253"/>
      <c r="G147" s="1248"/>
      <c r="H147" s="1253"/>
      <c r="I147" s="1248"/>
      <c r="J147" s="1253"/>
      <c r="K147" s="1248"/>
      <c r="L147" s="1248"/>
      <c r="M147" s="1249"/>
      <c r="N147" s="1250"/>
      <c r="O147" s="1250"/>
      <c r="P147" s="1251"/>
      <c r="Q147" s="1250"/>
      <c r="R147" s="1250"/>
      <c r="S147" s="1250"/>
      <c r="T147" s="1250"/>
      <c r="V147" s="1052"/>
    </row>
    <row r="148" spans="1:43" s="1053" customFormat="1" ht="11.25" customHeight="1">
      <c r="A148" s="1086"/>
      <c r="B148" s="1254" t="s">
        <v>1859</v>
      </c>
      <c r="C148" s="1248"/>
      <c r="D148" s="1248"/>
      <c r="E148" s="1158"/>
      <c r="F148" s="1253"/>
      <c r="G148" s="1248"/>
      <c r="H148" s="1253"/>
      <c r="I148" s="1248"/>
      <c r="J148" s="1253"/>
      <c r="K148" s="1248"/>
      <c r="L148" s="1248"/>
      <c r="M148" s="1249"/>
      <c r="N148" s="1250"/>
      <c r="O148" s="1250"/>
      <c r="P148" s="1251"/>
      <c r="Q148" s="1250"/>
      <c r="R148" s="1250"/>
      <c r="S148" s="1250"/>
      <c r="T148" s="1250"/>
      <c r="V148" s="1052"/>
    </row>
    <row r="149" spans="1:43" s="1053" customFormat="1" ht="11.25" customHeight="1">
      <c r="A149" s="1086"/>
      <c r="B149" s="1255"/>
      <c r="C149" s="1248"/>
      <c r="D149" s="1248"/>
      <c r="E149" s="1248"/>
      <c r="F149" s="1253"/>
      <c r="G149" s="1248"/>
      <c r="H149" s="1253"/>
      <c r="I149" s="1248"/>
      <c r="J149" s="1253"/>
      <c r="K149" s="1248"/>
      <c r="L149" s="1248"/>
      <c r="M149" s="1249"/>
      <c r="N149" s="1250"/>
      <c r="O149" s="1250"/>
      <c r="P149" s="1251"/>
      <c r="Q149" s="1250"/>
      <c r="R149" s="1250"/>
      <c r="S149" s="1250"/>
      <c r="T149" s="1250"/>
      <c r="V149" s="1052"/>
    </row>
    <row r="150" spans="1:43" s="1053" customFormat="1" ht="11.25" customHeight="1">
      <c r="A150" s="1086"/>
      <c r="B150" s="1256" t="s">
        <v>1618</v>
      </c>
      <c r="C150" s="1257"/>
      <c r="D150" s="1257"/>
      <c r="E150" s="1257"/>
      <c r="F150" s="1257"/>
      <c r="G150" s="1257"/>
      <c r="H150" s="1257"/>
      <c r="I150" s="1257"/>
      <c r="J150" s="1257"/>
      <c r="K150" s="1257"/>
      <c r="L150" s="1257"/>
      <c r="M150" s="1249"/>
      <c r="N150" s="1258"/>
      <c r="O150" s="1258"/>
      <c r="P150" s="1251"/>
      <c r="Q150" s="1258"/>
      <c r="R150" s="1258"/>
      <c r="S150" s="1258"/>
      <c r="T150" s="1258"/>
      <c r="V150" s="1052"/>
    </row>
    <row r="151" spans="1:43" s="1053" customFormat="1" ht="11.25" customHeight="1">
      <c r="A151" s="1086"/>
      <c r="B151" s="1259" t="s">
        <v>499</v>
      </c>
      <c r="C151" s="1155" t="s">
        <v>1667</v>
      </c>
      <c r="D151" s="1155"/>
      <c r="E151" s="1155"/>
      <c r="F151" s="1154"/>
      <c r="G151" s="1155"/>
      <c r="H151" s="1154"/>
      <c r="I151" s="1155"/>
      <c r="J151" s="1154"/>
      <c r="K151" s="1155"/>
      <c r="L151" s="1155"/>
      <c r="M151" s="1054"/>
      <c r="N151" s="1093"/>
      <c r="O151" s="1093"/>
      <c r="P151" s="1094"/>
      <c r="Q151" s="1093"/>
      <c r="R151" s="1093"/>
      <c r="S151" s="1093"/>
      <c r="T151" s="1250"/>
      <c r="V151" s="1052"/>
    </row>
    <row r="152" spans="1:43" s="1053" customFormat="1" ht="11.25" customHeight="1">
      <c r="A152" s="1086"/>
      <c r="B152" s="1259" t="s">
        <v>1290</v>
      </c>
      <c r="C152" s="1155" t="s">
        <v>1668</v>
      </c>
      <c r="D152" s="1155"/>
      <c r="E152" s="1155"/>
      <c r="F152" s="1155"/>
      <c r="G152" s="1155"/>
      <c r="H152" s="1155"/>
      <c r="I152" s="1155"/>
      <c r="J152" s="1155"/>
      <c r="K152" s="1155"/>
      <c r="L152" s="1155"/>
      <c r="M152" s="1054"/>
      <c r="N152" s="1093"/>
      <c r="O152" s="1093"/>
      <c r="P152" s="1094"/>
      <c r="Q152" s="1093"/>
      <c r="R152" s="1093"/>
      <c r="S152" s="1093"/>
      <c r="T152" s="1250"/>
      <c r="V152" s="1052"/>
    </row>
    <row r="153" spans="1:43" s="1053" customFormat="1" ht="11.25" customHeight="1">
      <c r="A153" s="1086"/>
      <c r="B153" s="1259" t="s">
        <v>138</v>
      </c>
      <c r="C153" s="1155" t="s">
        <v>1669</v>
      </c>
      <c r="D153" s="1155"/>
      <c r="E153" s="1155"/>
      <c r="F153" s="1154"/>
      <c r="G153" s="1155"/>
      <c r="H153" s="1154"/>
      <c r="I153" s="1155"/>
      <c r="J153" s="1154"/>
      <c r="K153" s="1155"/>
      <c r="L153" s="1155"/>
      <c r="M153" s="1054"/>
      <c r="N153" s="1093"/>
      <c r="O153" s="1093"/>
      <c r="P153" s="1094"/>
      <c r="Q153" s="1093"/>
      <c r="R153" s="1093"/>
      <c r="S153" s="1093"/>
      <c r="T153" s="1250"/>
      <c r="V153" s="1052"/>
    </row>
    <row r="154" spans="1:43" s="1053" customFormat="1" ht="11.25" customHeight="1">
      <c r="A154" s="1086"/>
      <c r="B154" s="1259" t="s">
        <v>1636</v>
      </c>
      <c r="C154" s="1155" t="s">
        <v>1670</v>
      </c>
      <c r="D154" s="1155"/>
      <c r="E154" s="1155"/>
      <c r="F154" s="1154"/>
      <c r="G154" s="1155"/>
      <c r="H154" s="1154"/>
      <c r="I154" s="1155"/>
      <c r="J154" s="1154"/>
      <c r="K154" s="1155"/>
      <c r="L154" s="1155"/>
      <c r="M154" s="1054"/>
      <c r="N154" s="1093"/>
      <c r="O154" s="1093"/>
      <c r="P154" s="1094"/>
      <c r="Q154" s="1093"/>
      <c r="R154" s="1093"/>
      <c r="S154" s="1093"/>
      <c r="T154" s="1250"/>
      <c r="V154" s="1052"/>
    </row>
    <row r="155" spans="1:43" s="1053" customFormat="1" ht="11.25" customHeight="1">
      <c r="A155" s="1086"/>
      <c r="B155" s="1259" t="s">
        <v>1671</v>
      </c>
      <c r="C155" s="1155" t="s">
        <v>1672</v>
      </c>
      <c r="D155" s="1155"/>
      <c r="E155" s="1155"/>
      <c r="F155" s="1154"/>
      <c r="G155" s="1155"/>
      <c r="H155" s="1154"/>
      <c r="I155" s="1155"/>
      <c r="J155" s="1154"/>
      <c r="K155" s="1155"/>
      <c r="L155" s="1155"/>
      <c r="M155" s="1054"/>
      <c r="N155" s="1093"/>
      <c r="O155" s="1093"/>
      <c r="P155" s="1094"/>
      <c r="Q155" s="1093"/>
      <c r="R155" s="1093"/>
      <c r="S155" s="1093"/>
      <c r="T155" s="1250"/>
      <c r="V155" s="1052"/>
    </row>
    <row r="156" spans="1:43" s="1053" customFormat="1" ht="11.25" customHeight="1">
      <c r="A156" s="1086"/>
      <c r="B156" s="1259" t="s">
        <v>1621</v>
      </c>
      <c r="C156" s="1155" t="s">
        <v>1860</v>
      </c>
      <c r="D156" s="1155"/>
      <c r="E156" s="1155"/>
      <c r="F156" s="1154"/>
      <c r="G156" s="1155"/>
      <c r="H156" s="1154"/>
      <c r="I156" s="1155"/>
      <c r="J156" s="1154"/>
      <c r="K156" s="1155"/>
      <c r="L156" s="1155"/>
      <c r="M156" s="1054"/>
      <c r="N156" s="1093"/>
      <c r="O156" s="1093"/>
      <c r="P156" s="1094"/>
      <c r="Q156" s="1093"/>
      <c r="R156" s="1093"/>
      <c r="S156" s="1093"/>
      <c r="T156" s="1250"/>
      <c r="V156" s="1052"/>
    </row>
    <row r="157" spans="1:43" s="1053" customFormat="1" ht="11.25" customHeight="1">
      <c r="A157" s="1086"/>
      <c r="B157" s="1259" t="s">
        <v>1119</v>
      </c>
      <c r="C157" s="1155" t="s">
        <v>1673</v>
      </c>
      <c r="D157" s="1155"/>
      <c r="E157" s="1155"/>
      <c r="F157" s="1154"/>
      <c r="G157" s="1155"/>
      <c r="H157" s="1154"/>
      <c r="I157" s="1155"/>
      <c r="J157" s="1154"/>
      <c r="K157" s="1155"/>
      <c r="L157" s="1155"/>
      <c r="M157" s="1054"/>
      <c r="N157" s="1093"/>
      <c r="O157" s="1093"/>
      <c r="P157" s="1094"/>
      <c r="Q157" s="1093"/>
      <c r="R157" s="1093"/>
      <c r="S157" s="1093"/>
      <c r="T157" s="1250"/>
      <c r="V157" s="1052"/>
    </row>
    <row r="158" spans="1:43" s="1053" customFormat="1" ht="11.25" customHeight="1">
      <c r="A158" s="1086"/>
      <c r="B158" s="1259" t="s">
        <v>1674</v>
      </c>
      <c r="C158" s="1155" t="s">
        <v>1675</v>
      </c>
      <c r="D158" s="1155"/>
      <c r="E158" s="1155"/>
      <c r="F158" s="1154"/>
      <c r="G158" s="1155"/>
      <c r="H158" s="1154"/>
      <c r="I158" s="1155"/>
      <c r="J158" s="1154"/>
      <c r="K158" s="1155"/>
      <c r="L158" s="1155"/>
      <c r="M158" s="1054"/>
      <c r="N158" s="1093"/>
      <c r="O158" s="1093"/>
      <c r="P158" s="1094"/>
      <c r="Q158" s="1093"/>
      <c r="R158" s="1093"/>
      <c r="S158" s="1093"/>
      <c r="T158" s="1250"/>
      <c r="V158" s="1052"/>
    </row>
    <row r="159" spans="1:43" s="1100" customFormat="1" ht="11.15" customHeight="1">
      <c r="B159" s="1260" t="s">
        <v>1624</v>
      </c>
      <c r="C159" s="1431" t="s">
        <v>1676</v>
      </c>
      <c r="D159" s="1431"/>
      <c r="E159" s="1431"/>
      <c r="F159" s="1432"/>
      <c r="G159" s="1431"/>
      <c r="H159" s="1432"/>
      <c r="I159" s="1431"/>
      <c r="J159" s="1432"/>
      <c r="K159" s="1431"/>
      <c r="L159" s="1431"/>
      <c r="M159" s="1261"/>
      <c r="N159" s="1262"/>
      <c r="O159" s="1262"/>
      <c r="P159" s="1263"/>
      <c r="Q159" s="1264"/>
      <c r="R159" s="1262"/>
      <c r="S159" s="1262"/>
      <c r="T159" s="1265"/>
      <c r="U159" s="1113"/>
      <c r="V159" s="1252"/>
      <c r="W159" s="1113"/>
      <c r="X159" s="1113"/>
      <c r="Y159" s="1113"/>
      <c r="Z159" s="1113"/>
      <c r="AA159" s="1113"/>
      <c r="AB159" s="1113"/>
      <c r="AC159" s="1113"/>
      <c r="AD159" s="1113"/>
      <c r="AE159" s="1113"/>
      <c r="AF159" s="1113"/>
      <c r="AG159" s="1113"/>
      <c r="AH159" s="1113"/>
      <c r="AI159" s="1113"/>
      <c r="AJ159" s="1113"/>
      <c r="AK159" s="1113"/>
      <c r="AL159" s="1113"/>
      <c r="AM159" s="1113"/>
      <c r="AN159" s="1113"/>
      <c r="AO159" s="1113"/>
      <c r="AP159" s="1113"/>
      <c r="AQ159" s="1113"/>
    </row>
    <row r="160" spans="1:43" s="1100" customFormat="1" ht="11.15" customHeight="1">
      <c r="B160" s="1260" t="s">
        <v>1628</v>
      </c>
      <c r="C160" s="1431" t="s">
        <v>1677</v>
      </c>
      <c r="D160" s="1431"/>
      <c r="E160" s="1431"/>
      <c r="F160" s="1432"/>
      <c r="G160" s="1431"/>
      <c r="H160" s="1432"/>
      <c r="I160" s="1431"/>
      <c r="J160" s="1432"/>
      <c r="K160" s="1431"/>
      <c r="L160" s="1431"/>
      <c r="M160" s="1261"/>
      <c r="N160" s="1262"/>
      <c r="O160" s="1262"/>
      <c r="P160" s="1263"/>
      <c r="Q160" s="1264"/>
      <c r="R160" s="1262"/>
      <c r="S160" s="1262"/>
      <c r="T160" s="1265"/>
      <c r="U160" s="1113"/>
      <c r="V160" s="1252"/>
      <c r="W160" s="1113"/>
      <c r="X160" s="1113"/>
      <c r="Y160" s="1113"/>
      <c r="Z160" s="1113"/>
      <c r="AA160" s="1113"/>
      <c r="AB160" s="1113"/>
      <c r="AC160" s="1113"/>
      <c r="AD160" s="1113"/>
      <c r="AE160" s="1113"/>
      <c r="AF160" s="1113"/>
      <c r="AG160" s="1113"/>
      <c r="AH160" s="1113"/>
      <c r="AI160" s="1113"/>
      <c r="AJ160" s="1113"/>
      <c r="AK160" s="1113"/>
      <c r="AL160" s="1113"/>
      <c r="AM160" s="1113"/>
      <c r="AN160" s="1113"/>
      <c r="AO160" s="1113"/>
      <c r="AP160" s="1113"/>
      <c r="AQ160" s="1113"/>
    </row>
    <row r="161" spans="1:22" ht="11.25" customHeight="1">
      <c r="B161" s="1266"/>
      <c r="C161" s="1155"/>
      <c r="T161" s="1267"/>
    </row>
    <row r="162" spans="1:22" ht="11.25" customHeight="1">
      <c r="B162" s="1247">
        <v>1</v>
      </c>
      <c r="C162" s="1086" t="s">
        <v>1861</v>
      </c>
      <c r="T162" s="1267"/>
    </row>
    <row r="163" spans="1:22" s="1053" customFormat="1" ht="11.25" customHeight="1">
      <c r="A163" s="1086"/>
      <c r="B163" s="1247">
        <v>2</v>
      </c>
      <c r="C163" s="1086" t="s">
        <v>1862</v>
      </c>
      <c r="D163" s="1086"/>
      <c r="E163" s="1086"/>
      <c r="F163" s="1086"/>
      <c r="G163" s="1086"/>
      <c r="H163" s="1086"/>
      <c r="I163" s="1086"/>
      <c r="J163" s="1086"/>
      <c r="K163" s="1086"/>
      <c r="L163" s="1086"/>
      <c r="M163" s="1054"/>
      <c r="P163" s="1094"/>
      <c r="T163" s="1267"/>
      <c r="V163" s="1052"/>
    </row>
    <row r="164" spans="1:22" s="1053" customFormat="1" ht="11.25" customHeight="1">
      <c r="A164" s="1086"/>
      <c r="B164" s="1247">
        <v>3</v>
      </c>
      <c r="C164" s="1086" t="s">
        <v>1863</v>
      </c>
      <c r="D164" s="1086"/>
      <c r="E164" s="1086"/>
      <c r="F164" s="1086"/>
      <c r="G164" s="1086"/>
      <c r="H164" s="1086"/>
      <c r="I164" s="1086"/>
      <c r="J164" s="1086"/>
      <c r="K164" s="1086"/>
      <c r="L164" s="1086"/>
      <c r="M164" s="1054"/>
      <c r="P164" s="1094"/>
      <c r="T164" s="1267"/>
      <c r="V164" s="1052"/>
    </row>
    <row r="165" spans="1:22" s="1053" customFormat="1" ht="11.25" customHeight="1">
      <c r="A165" s="1086"/>
      <c r="B165" s="1247">
        <v>4</v>
      </c>
      <c r="C165" s="1086" t="s">
        <v>1864</v>
      </c>
      <c r="D165" s="1086"/>
      <c r="E165" s="1086"/>
      <c r="F165" s="1086"/>
      <c r="G165" s="1086"/>
      <c r="H165" s="1086"/>
      <c r="I165" s="1086"/>
      <c r="J165" s="1086"/>
      <c r="K165" s="1086"/>
      <c r="L165" s="1086"/>
      <c r="M165" s="1054"/>
      <c r="P165" s="1094"/>
      <c r="T165" s="1267"/>
      <c r="V165" s="1052"/>
    </row>
    <row r="166" spans="1:22" s="1053" customFormat="1" ht="11.25" customHeight="1">
      <c r="A166" s="1086"/>
      <c r="B166" s="1247">
        <v>5</v>
      </c>
      <c r="C166" s="1086" t="s">
        <v>1865</v>
      </c>
      <c r="D166" s="1086"/>
      <c r="E166" s="1086"/>
      <c r="F166" s="1086"/>
      <c r="G166" s="1086"/>
      <c r="H166" s="1086"/>
      <c r="I166" s="1086"/>
      <c r="J166" s="1086"/>
      <c r="K166" s="1086"/>
      <c r="L166" s="1086"/>
      <c r="M166" s="1054"/>
      <c r="P166" s="1094"/>
      <c r="T166" s="1267"/>
      <c r="V166" s="1052"/>
    </row>
    <row r="167" spans="1:22" s="1053" customFormat="1" ht="11.25" customHeight="1">
      <c r="A167" s="1086"/>
      <c r="B167" s="1247">
        <v>6</v>
      </c>
      <c r="C167" s="1086" t="s">
        <v>1784</v>
      </c>
      <c r="D167" s="1086"/>
      <c r="E167" s="1086"/>
      <c r="F167" s="1086"/>
      <c r="G167" s="1086"/>
      <c r="H167" s="1086"/>
      <c r="I167" s="1086"/>
      <c r="J167" s="1086"/>
      <c r="K167" s="1086"/>
      <c r="L167" s="1086"/>
      <c r="M167" s="1054"/>
      <c r="P167" s="1094"/>
      <c r="T167" s="1267"/>
      <c r="V167" s="1052"/>
    </row>
    <row r="168" spans="1:22" s="1053" customFormat="1" ht="11.25" customHeight="1">
      <c r="A168" s="1086"/>
      <c r="B168" s="1247">
        <v>7</v>
      </c>
      <c r="C168" s="1086" t="s">
        <v>1866</v>
      </c>
      <c r="D168" s="1086"/>
      <c r="E168" s="1086"/>
      <c r="F168" s="1086"/>
      <c r="G168" s="1086"/>
      <c r="H168" s="1086"/>
      <c r="I168" s="1086"/>
      <c r="J168" s="1086"/>
      <c r="K168" s="1086"/>
      <c r="L168" s="1086"/>
      <c r="M168" s="1054"/>
      <c r="P168" s="1094"/>
      <c r="T168" s="1267"/>
      <c r="V168" s="1052"/>
    </row>
    <row r="169" spans="1:22" s="1053" customFormat="1" ht="11.25" customHeight="1">
      <c r="A169" s="1086"/>
      <c r="B169" s="1055">
        <v>8</v>
      </c>
      <c r="C169" s="1100" t="s">
        <v>1867</v>
      </c>
      <c r="D169" s="1086"/>
      <c r="E169" s="1086"/>
      <c r="F169" s="1086"/>
      <c r="G169" s="1086"/>
      <c r="H169" s="1086"/>
      <c r="I169" s="1086"/>
      <c r="J169" s="1086"/>
      <c r="K169" s="1086"/>
      <c r="L169" s="1086"/>
      <c r="M169" s="1054"/>
      <c r="P169" s="1094"/>
      <c r="T169" s="1267"/>
      <c r="V169" s="1052"/>
    </row>
    <row r="170" spans="1:22" s="1053" customFormat="1" ht="11.25" customHeight="1">
      <c r="A170" s="1086"/>
      <c r="B170" s="1055">
        <v>9</v>
      </c>
      <c r="C170" s="1100" t="s">
        <v>1780</v>
      </c>
      <c r="D170" s="1086"/>
      <c r="E170" s="1086"/>
      <c r="F170" s="1086"/>
      <c r="G170" s="1086"/>
      <c r="H170" s="1086"/>
      <c r="I170" s="1086"/>
      <c r="J170" s="1086"/>
      <c r="K170" s="1086"/>
      <c r="L170" s="1086"/>
      <c r="M170" s="1054"/>
      <c r="P170" s="1094"/>
      <c r="T170" s="1267"/>
      <c r="V170" s="1052"/>
    </row>
    <row r="171" spans="1:22" s="1053" customFormat="1" ht="11.25" customHeight="1">
      <c r="A171" s="1086"/>
      <c r="B171" s="1055">
        <v>10</v>
      </c>
      <c r="C171" s="1086" t="s">
        <v>1868</v>
      </c>
      <c r="D171" s="1086"/>
      <c r="E171" s="1086"/>
      <c r="F171" s="1086"/>
      <c r="G171" s="1086"/>
      <c r="H171" s="1086"/>
      <c r="I171" s="1086"/>
      <c r="J171" s="1086"/>
      <c r="K171" s="1086"/>
      <c r="L171" s="1086"/>
      <c r="M171" s="1054"/>
      <c r="P171" s="1094"/>
      <c r="T171" s="1267"/>
      <c r="V171" s="1052"/>
    </row>
    <row r="172" spans="1:22" s="1053" customFormat="1" ht="11.25" customHeight="1">
      <c r="A172" s="1086"/>
      <c r="B172" s="1055">
        <v>11</v>
      </c>
      <c r="C172" s="1086" t="s">
        <v>1782</v>
      </c>
      <c r="D172" s="1086"/>
      <c r="E172" s="1086"/>
      <c r="F172" s="1086"/>
      <c r="G172" s="1086"/>
      <c r="H172" s="1086"/>
      <c r="I172" s="1086"/>
      <c r="J172" s="1086"/>
      <c r="K172" s="1086"/>
      <c r="L172" s="1086"/>
      <c r="M172" s="1054"/>
      <c r="P172" s="1094"/>
      <c r="T172" s="1267"/>
      <c r="V172" s="1052"/>
    </row>
    <row r="173" spans="1:22" s="1053" customFormat="1" ht="11.25" customHeight="1">
      <c r="A173" s="1086"/>
      <c r="B173" s="1055">
        <v>12</v>
      </c>
      <c r="C173" s="1147" t="s">
        <v>1869</v>
      </c>
      <c r="D173" s="1086"/>
      <c r="E173" s="1086"/>
      <c r="F173" s="1086"/>
      <c r="G173" s="1086"/>
      <c r="H173" s="1086"/>
      <c r="I173" s="1086"/>
      <c r="J173" s="1086"/>
      <c r="K173" s="1086"/>
      <c r="L173" s="1086"/>
      <c r="M173" s="1054"/>
      <c r="P173" s="1094"/>
      <c r="T173" s="1267"/>
      <c r="V173" s="1052"/>
    </row>
    <row r="174" spans="1:22" s="1053" customFormat="1" ht="11.25" customHeight="1">
      <c r="A174" s="1086"/>
      <c r="B174" s="1055">
        <v>13</v>
      </c>
      <c r="C174" s="1147" t="s">
        <v>1870</v>
      </c>
      <c r="D174" s="1086"/>
      <c r="E174" s="1086"/>
      <c r="F174" s="1086"/>
      <c r="G174" s="1086"/>
      <c r="H174" s="1086"/>
      <c r="I174" s="1086"/>
      <c r="J174" s="1086"/>
      <c r="K174" s="1086"/>
      <c r="L174" s="1086"/>
      <c r="M174" s="1054"/>
      <c r="P174" s="1094"/>
      <c r="T174" s="1267"/>
      <c r="V174" s="1052"/>
    </row>
    <row r="175" spans="1:22" s="1053" customFormat="1" ht="11.25" customHeight="1">
      <c r="A175" s="1086"/>
      <c r="B175" s="1055">
        <v>14</v>
      </c>
      <c r="C175" s="1147" t="s">
        <v>1871</v>
      </c>
      <c r="D175" s="1086"/>
      <c r="E175" s="1086"/>
      <c r="F175" s="1086"/>
      <c r="G175" s="1086"/>
      <c r="H175" s="1086"/>
      <c r="I175" s="1086"/>
      <c r="J175" s="1086"/>
      <c r="K175" s="1086"/>
      <c r="L175" s="1086"/>
      <c r="M175" s="1054"/>
      <c r="P175" s="1094"/>
      <c r="T175" s="1267"/>
      <c r="V175" s="1052"/>
    </row>
    <row r="176" spans="1:22" s="1053" customFormat="1" ht="11.25" customHeight="1">
      <c r="A176" s="1086"/>
      <c r="B176" s="1055">
        <v>15</v>
      </c>
      <c r="C176" s="1053" t="s">
        <v>1872</v>
      </c>
      <c r="D176" s="1086"/>
      <c r="E176" s="1086"/>
      <c r="F176" s="1086"/>
      <c r="G176" s="1086"/>
      <c r="H176" s="1086"/>
      <c r="I176" s="1086"/>
      <c r="J176" s="1086"/>
      <c r="K176" s="1086"/>
      <c r="L176" s="1086"/>
      <c r="M176" s="1054"/>
      <c r="P176" s="1094"/>
      <c r="T176" s="1267"/>
      <c r="V176" s="1052"/>
    </row>
    <row r="177" spans="1:22" s="1053" customFormat="1" ht="11.25" customHeight="1">
      <c r="A177" s="1086"/>
      <c r="B177" s="1055">
        <v>16</v>
      </c>
      <c r="C177" s="1093" t="s">
        <v>1873</v>
      </c>
      <c r="D177" s="1086"/>
      <c r="E177" s="1086"/>
      <c r="F177" s="1086"/>
      <c r="G177" s="1086"/>
      <c r="H177" s="1086"/>
      <c r="I177" s="1086"/>
      <c r="J177" s="1086"/>
      <c r="K177" s="1086"/>
      <c r="L177" s="1086"/>
      <c r="M177" s="1054"/>
      <c r="P177" s="1094"/>
      <c r="T177" s="1267"/>
      <c r="V177" s="1052"/>
    </row>
    <row r="178" spans="1:22" s="1053" customFormat="1" ht="11.25" customHeight="1">
      <c r="A178" s="1086"/>
      <c r="B178" s="1055">
        <v>17</v>
      </c>
      <c r="C178" s="1093" t="s">
        <v>1874</v>
      </c>
      <c r="D178" s="1086"/>
      <c r="E178" s="1086"/>
      <c r="F178" s="1086"/>
      <c r="G178" s="1086"/>
      <c r="H178" s="1086"/>
      <c r="I178" s="1086"/>
      <c r="J178" s="1086"/>
      <c r="K178" s="1086"/>
      <c r="L178" s="1086"/>
      <c r="M178" s="1054"/>
      <c r="P178" s="1094"/>
      <c r="T178" s="1267"/>
      <c r="V178" s="1052"/>
    </row>
    <row r="179" spans="1:22" s="1053" customFormat="1" ht="11.25" customHeight="1">
      <c r="A179" s="1086"/>
      <c r="B179" s="1055">
        <v>18</v>
      </c>
      <c r="C179" s="1093" t="s">
        <v>1875</v>
      </c>
      <c r="D179" s="1086"/>
      <c r="E179" s="1086"/>
      <c r="F179" s="1086"/>
      <c r="G179" s="1086"/>
      <c r="H179" s="1086"/>
      <c r="I179" s="1086"/>
      <c r="J179" s="1086"/>
      <c r="K179" s="1086"/>
      <c r="L179" s="1086"/>
      <c r="M179" s="1054"/>
      <c r="P179" s="1094"/>
      <c r="T179" s="1267"/>
      <c r="V179" s="1052"/>
    </row>
    <row r="180" spans="1:22" s="1053" customFormat="1" ht="11.25" customHeight="1">
      <c r="A180" s="1086"/>
      <c r="B180" s="1055">
        <v>19</v>
      </c>
      <c r="C180" s="1093" t="s">
        <v>1876</v>
      </c>
      <c r="D180" s="1086"/>
      <c r="E180" s="1086"/>
      <c r="F180" s="1086"/>
      <c r="G180" s="1086"/>
      <c r="H180" s="1086"/>
      <c r="I180" s="1086"/>
      <c r="J180" s="1086"/>
      <c r="K180" s="1086"/>
      <c r="L180" s="1086"/>
      <c r="M180" s="1054"/>
      <c r="P180" s="1094"/>
      <c r="T180" s="1267"/>
      <c r="V180" s="1052"/>
    </row>
    <row r="181" spans="1:22" s="1053" customFormat="1" ht="11.25" customHeight="1">
      <c r="A181" s="1086"/>
      <c r="B181" s="1055">
        <v>20</v>
      </c>
      <c r="C181" s="1093" t="s">
        <v>1877</v>
      </c>
      <c r="D181" s="1086"/>
      <c r="E181" s="1086"/>
      <c r="F181" s="1086"/>
      <c r="G181" s="1086"/>
      <c r="H181" s="1086"/>
      <c r="I181" s="1086"/>
      <c r="J181" s="1086"/>
      <c r="K181" s="1086"/>
      <c r="L181" s="1086"/>
      <c r="M181" s="1054"/>
      <c r="P181" s="1094"/>
      <c r="T181" s="1267"/>
      <c r="V181" s="1052"/>
    </row>
    <row r="182" spans="1:22" s="1053" customFormat="1" ht="11.25" customHeight="1">
      <c r="A182" s="1086"/>
      <c r="B182" s="1055">
        <v>21</v>
      </c>
      <c r="C182" s="1093" t="s">
        <v>1878</v>
      </c>
      <c r="D182" s="1086"/>
      <c r="E182" s="1086"/>
      <c r="F182" s="1086"/>
      <c r="G182" s="1086"/>
      <c r="H182" s="1086"/>
      <c r="I182" s="1086"/>
      <c r="J182" s="1086"/>
      <c r="K182" s="1086"/>
      <c r="L182" s="1086"/>
      <c r="M182" s="1054"/>
      <c r="P182" s="1094"/>
      <c r="T182" s="1267"/>
      <c r="V182" s="1052"/>
    </row>
    <row r="183" spans="1:22" s="1053" customFormat="1" ht="11.25" customHeight="1">
      <c r="A183" s="1086"/>
      <c r="B183" s="1055">
        <v>22</v>
      </c>
      <c r="C183" s="1268" t="s">
        <v>1879</v>
      </c>
      <c r="D183" s="1086"/>
      <c r="E183" s="1086"/>
      <c r="F183" s="1086"/>
      <c r="G183" s="1086"/>
      <c r="H183" s="1086"/>
      <c r="I183" s="1086"/>
      <c r="J183" s="1086"/>
      <c r="K183" s="1086"/>
      <c r="L183" s="1086"/>
      <c r="M183" s="1054"/>
      <c r="P183" s="1094"/>
      <c r="T183" s="1267"/>
      <c r="V183" s="1052"/>
    </row>
    <row r="184" spans="1:22" s="1053" customFormat="1" ht="11.25" customHeight="1">
      <c r="A184" s="1086"/>
      <c r="B184" s="1055">
        <v>23</v>
      </c>
      <c r="C184" s="1093" t="s">
        <v>1880</v>
      </c>
      <c r="D184" s="1086"/>
      <c r="E184" s="1086"/>
      <c r="F184" s="1086"/>
      <c r="G184" s="1086"/>
      <c r="H184" s="1086"/>
      <c r="I184" s="1086"/>
      <c r="J184" s="1086"/>
      <c r="K184" s="1086"/>
      <c r="L184" s="1086"/>
      <c r="M184" s="1054"/>
      <c r="P184" s="1094"/>
      <c r="T184" s="1267"/>
      <c r="V184" s="1052"/>
    </row>
    <row r="185" spans="1:22" s="1053" customFormat="1" ht="11.25" customHeight="1">
      <c r="A185" s="1086"/>
      <c r="B185" s="1055">
        <v>24</v>
      </c>
      <c r="C185" s="1093" t="s">
        <v>1881</v>
      </c>
      <c r="D185" s="1086"/>
      <c r="E185" s="1086"/>
      <c r="F185" s="1086"/>
      <c r="G185" s="1086"/>
      <c r="H185" s="1086"/>
      <c r="I185" s="1086"/>
      <c r="J185" s="1086"/>
      <c r="K185" s="1086"/>
      <c r="L185" s="1086"/>
      <c r="M185" s="1054"/>
      <c r="P185" s="1094"/>
      <c r="T185" s="1267"/>
      <c r="V185" s="1052"/>
    </row>
    <row r="186" spans="1:22" s="1053" customFormat="1" ht="11.25" customHeight="1">
      <c r="A186" s="1086"/>
      <c r="B186" s="1055">
        <v>25</v>
      </c>
      <c r="C186" s="1093" t="s">
        <v>1795</v>
      </c>
      <c r="D186" s="1086"/>
      <c r="E186" s="1086"/>
      <c r="F186" s="1086"/>
      <c r="G186" s="1086"/>
      <c r="H186" s="1086"/>
      <c r="I186" s="1086"/>
      <c r="J186" s="1086"/>
      <c r="K186" s="1086"/>
      <c r="L186" s="1086"/>
      <c r="M186" s="1054"/>
      <c r="P186" s="1094"/>
      <c r="T186" s="1267"/>
      <c r="V186" s="1052"/>
    </row>
    <row r="187" spans="1:22" s="1053" customFormat="1" ht="11.25" customHeight="1">
      <c r="A187" s="1086"/>
      <c r="B187" s="1055">
        <v>26</v>
      </c>
      <c r="C187" s="1093" t="s">
        <v>1882</v>
      </c>
      <c r="D187" s="1086"/>
      <c r="E187" s="1086"/>
      <c r="F187" s="1086"/>
      <c r="G187" s="1086"/>
      <c r="H187" s="1086"/>
      <c r="I187" s="1086"/>
      <c r="J187" s="1086"/>
      <c r="K187" s="1086"/>
      <c r="L187" s="1086"/>
      <c r="M187" s="1054"/>
      <c r="P187" s="1094"/>
      <c r="T187" s="1267"/>
      <c r="V187" s="1052"/>
    </row>
    <row r="188" spans="1:22" s="1053" customFormat="1" ht="11.25" customHeight="1">
      <c r="A188" s="1086"/>
      <c r="B188" s="1055">
        <v>27</v>
      </c>
      <c r="C188" s="1093" t="s">
        <v>1883</v>
      </c>
      <c r="D188" s="1086"/>
      <c r="E188" s="1086"/>
      <c r="F188" s="1086"/>
      <c r="G188" s="1086"/>
      <c r="H188" s="1086"/>
      <c r="I188" s="1086"/>
      <c r="J188" s="1086"/>
      <c r="K188" s="1086"/>
      <c r="L188" s="1086"/>
      <c r="M188" s="1054"/>
      <c r="P188" s="1094"/>
      <c r="T188" s="1267"/>
      <c r="V188" s="1052"/>
    </row>
    <row r="189" spans="1:22" s="1053" customFormat="1" ht="11.25" customHeight="1">
      <c r="A189" s="1086"/>
      <c r="B189" s="1055">
        <v>28</v>
      </c>
      <c r="C189" s="1093" t="s">
        <v>1884</v>
      </c>
      <c r="D189" s="1086"/>
      <c r="E189" s="1086"/>
      <c r="F189" s="1086"/>
      <c r="G189" s="1086"/>
      <c r="H189" s="1086"/>
      <c r="I189" s="1086"/>
      <c r="J189" s="1086"/>
      <c r="K189" s="1086"/>
      <c r="L189" s="1086"/>
      <c r="M189" s="1054"/>
      <c r="P189" s="1094"/>
      <c r="T189" s="1267"/>
      <c r="V189" s="1052"/>
    </row>
    <row r="190" spans="1:22" s="1053" customFormat="1" ht="11.25" customHeight="1">
      <c r="A190" s="1086"/>
      <c r="B190" s="1247">
        <v>29</v>
      </c>
      <c r="C190" s="1086" t="s">
        <v>1885</v>
      </c>
      <c r="D190" s="1086"/>
      <c r="E190" s="1086"/>
      <c r="F190" s="1086"/>
      <c r="G190" s="1086"/>
      <c r="H190" s="1086"/>
      <c r="I190" s="1086"/>
      <c r="J190" s="1086"/>
      <c r="K190" s="1086"/>
      <c r="L190" s="1086"/>
      <c r="M190" s="1054"/>
      <c r="P190" s="1094"/>
      <c r="T190" s="1267"/>
      <c r="V190" s="1052"/>
    </row>
    <row r="191" spans="1:22" s="1053" customFormat="1" ht="11.25" customHeight="1">
      <c r="A191" s="1086"/>
      <c r="B191" s="1247">
        <v>30</v>
      </c>
      <c r="C191" s="1086" t="s">
        <v>1886</v>
      </c>
      <c r="D191" s="1086"/>
      <c r="E191" s="1086"/>
      <c r="F191" s="1086"/>
      <c r="G191" s="1086"/>
      <c r="H191" s="1086"/>
      <c r="I191" s="1086"/>
      <c r="J191" s="1086"/>
      <c r="K191" s="1086"/>
      <c r="L191" s="1086"/>
      <c r="M191" s="1054"/>
      <c r="P191" s="1094"/>
      <c r="T191" s="1267"/>
      <c r="V191" s="1052"/>
    </row>
    <row r="192" spans="1:22" s="1053" customFormat="1" ht="11.25" customHeight="1">
      <c r="A192" s="1086"/>
      <c r="B192" s="1247">
        <v>31</v>
      </c>
      <c r="C192" s="1086" t="s">
        <v>1887</v>
      </c>
      <c r="D192" s="1086"/>
      <c r="E192" s="1086"/>
      <c r="F192" s="1086"/>
      <c r="G192" s="1086"/>
      <c r="H192" s="1086"/>
      <c r="I192" s="1086"/>
      <c r="J192" s="1086"/>
      <c r="K192" s="1086"/>
      <c r="L192" s="1086"/>
      <c r="M192" s="1054"/>
      <c r="P192" s="1094"/>
      <c r="T192" s="1267"/>
      <c r="V192" s="1052"/>
    </row>
    <row r="193" spans="1:43" s="1053" customFormat="1" ht="11.25" customHeight="1">
      <c r="A193" s="1086"/>
      <c r="B193" s="1247">
        <v>32</v>
      </c>
      <c r="C193" s="1086" t="s">
        <v>1888</v>
      </c>
      <c r="D193" s="1086"/>
      <c r="E193" s="1086"/>
      <c r="F193" s="1086"/>
      <c r="G193" s="1086"/>
      <c r="H193" s="1086"/>
      <c r="I193" s="1086"/>
      <c r="J193" s="1086"/>
      <c r="K193" s="1086"/>
      <c r="L193" s="1086"/>
      <c r="M193" s="1054"/>
      <c r="P193" s="1094"/>
      <c r="T193" s="1267"/>
      <c r="V193" s="1052"/>
    </row>
    <row r="194" spans="1:43" s="1053" customFormat="1" ht="11.25" customHeight="1">
      <c r="A194" s="1086"/>
      <c r="B194" s="1247">
        <v>33</v>
      </c>
      <c r="C194" s="1086" t="s">
        <v>1800</v>
      </c>
      <c r="D194" s="1086"/>
      <c r="E194" s="1086"/>
      <c r="F194" s="1086"/>
      <c r="G194" s="1086"/>
      <c r="H194" s="1086"/>
      <c r="I194" s="1086"/>
      <c r="J194" s="1086"/>
      <c r="K194" s="1086"/>
      <c r="L194" s="1086"/>
      <c r="M194" s="1054"/>
      <c r="P194" s="1094"/>
      <c r="T194" s="1267"/>
      <c r="V194" s="1052"/>
    </row>
    <row r="195" spans="1:43" ht="11.25" customHeight="1">
      <c r="B195" s="1055">
        <v>34</v>
      </c>
      <c r="C195" s="1093" t="s">
        <v>1795</v>
      </c>
      <c r="D195" s="1269"/>
      <c r="E195" s="1269"/>
      <c r="F195" s="1269"/>
      <c r="G195" s="1269"/>
      <c r="H195" s="1269"/>
      <c r="I195" s="1270"/>
      <c r="J195" s="1270"/>
      <c r="K195" s="1270"/>
      <c r="L195" s="1270"/>
      <c r="M195" s="1271"/>
      <c r="N195" s="1269"/>
      <c r="O195" s="1269"/>
      <c r="P195" s="1272"/>
      <c r="T195" s="1267"/>
    </row>
    <row r="196" spans="1:43" ht="11.25" customHeight="1">
      <c r="B196" s="1055">
        <v>35</v>
      </c>
      <c r="C196" s="1053" t="s">
        <v>1801</v>
      </c>
      <c r="D196" s="1093"/>
      <c r="E196" s="1093"/>
      <c r="F196" s="1093"/>
      <c r="G196" s="1093"/>
      <c r="H196" s="1093"/>
      <c r="I196" s="1155"/>
      <c r="J196" s="1155"/>
      <c r="K196" s="1155"/>
      <c r="L196" s="1155"/>
      <c r="N196" s="1093"/>
      <c r="O196" s="1093"/>
      <c r="Q196" s="1273"/>
      <c r="R196" s="1269"/>
      <c r="T196" s="1267"/>
    </row>
    <row r="197" spans="1:43" ht="11.25" customHeight="1">
      <c r="B197" s="1055">
        <v>36</v>
      </c>
      <c r="C197" s="1053" t="s">
        <v>1889</v>
      </c>
      <c r="D197" s="1093"/>
      <c r="E197" s="1093"/>
      <c r="F197" s="1093"/>
      <c r="G197" s="1093"/>
      <c r="H197" s="1093"/>
      <c r="I197" s="1155"/>
      <c r="J197" s="1155"/>
      <c r="K197" s="1155"/>
      <c r="L197" s="1155"/>
      <c r="N197" s="1093"/>
      <c r="O197" s="1093"/>
    </row>
    <row r="198" spans="1:43" ht="11.25" customHeight="1">
      <c r="B198" s="1055">
        <v>37</v>
      </c>
      <c r="C198" s="1053" t="s">
        <v>1890</v>
      </c>
      <c r="D198" s="1093"/>
      <c r="E198" s="1093"/>
      <c r="F198" s="1093"/>
      <c r="G198" s="1093"/>
      <c r="H198" s="1093"/>
      <c r="I198" s="1155"/>
      <c r="J198" s="1155"/>
      <c r="K198" s="1155"/>
      <c r="L198" s="1155"/>
      <c r="N198" s="1093"/>
      <c r="O198" s="1093"/>
    </row>
    <row r="199" spans="1:43" ht="11.25" customHeight="1">
      <c r="B199" s="1055">
        <v>38</v>
      </c>
      <c r="C199" s="1093" t="s">
        <v>1891</v>
      </c>
      <c r="D199" s="1093"/>
      <c r="E199" s="1093"/>
      <c r="F199" s="1093"/>
      <c r="G199" s="1093"/>
      <c r="H199" s="1093"/>
      <c r="I199" s="1155"/>
      <c r="J199" s="1155"/>
      <c r="K199" s="1155"/>
      <c r="L199" s="1155"/>
      <c r="N199" s="1093"/>
      <c r="O199" s="1093"/>
      <c r="Q199" s="1093"/>
      <c r="R199" s="1093"/>
      <c r="S199" s="1093"/>
      <c r="T199" s="1093"/>
    </row>
    <row r="200" spans="1:43" ht="11.25" customHeight="1">
      <c r="B200" s="1055">
        <v>39</v>
      </c>
      <c r="C200" s="1055" t="s">
        <v>1892</v>
      </c>
      <c r="D200" s="1155"/>
      <c r="E200" s="1155"/>
      <c r="F200" s="1155"/>
      <c r="G200" s="1155"/>
      <c r="H200" s="1155"/>
      <c r="I200" s="1155"/>
      <c r="J200" s="1155"/>
      <c r="K200" s="1155"/>
      <c r="L200" s="1155"/>
      <c r="N200" s="1093"/>
      <c r="O200" s="1093"/>
      <c r="Q200" s="1093"/>
      <c r="R200" s="1093"/>
      <c r="S200" s="1093"/>
      <c r="T200" s="1093"/>
    </row>
    <row r="201" spans="1:43" ht="11.25" customHeight="1">
      <c r="B201" s="1247">
        <v>40</v>
      </c>
      <c r="C201" s="1055" t="s">
        <v>1893</v>
      </c>
      <c r="D201" s="1155"/>
      <c r="E201" s="1155"/>
      <c r="F201" s="1155"/>
      <c r="G201" s="1155"/>
      <c r="H201" s="1155"/>
      <c r="I201" s="1155"/>
      <c r="J201" s="1155"/>
      <c r="K201" s="1155"/>
      <c r="L201" s="1155"/>
      <c r="N201" s="1093"/>
      <c r="O201" s="1093"/>
      <c r="Q201" s="1093"/>
      <c r="R201" s="1093"/>
      <c r="S201" s="1093"/>
      <c r="T201" s="1093"/>
    </row>
    <row r="202" spans="1:43" s="1100" customFormat="1" ht="11.25" customHeight="1">
      <c r="B202" s="1274"/>
      <c r="D202" s="1113"/>
      <c r="E202" s="1275"/>
      <c r="F202" s="1275"/>
      <c r="G202" s="1275"/>
      <c r="H202" s="1275"/>
      <c r="I202" s="1275"/>
      <c r="J202" s="1275"/>
      <c r="K202" s="1275"/>
      <c r="L202" s="1275"/>
      <c r="M202" s="1106"/>
      <c r="N202" s="1109"/>
      <c r="O202" s="1109"/>
      <c r="P202" s="1110"/>
      <c r="Q202" s="1109"/>
      <c r="R202" s="1109"/>
      <c r="S202" s="1109"/>
      <c r="T202" s="1109"/>
      <c r="U202" s="1113"/>
      <c r="V202" s="1252"/>
      <c r="W202" s="1113"/>
      <c r="X202" s="1113"/>
      <c r="Y202" s="1113"/>
      <c r="Z202" s="1113"/>
      <c r="AA202" s="1113"/>
      <c r="AB202" s="1113"/>
      <c r="AC202" s="1113"/>
      <c r="AD202" s="1113"/>
      <c r="AE202" s="1113"/>
      <c r="AF202" s="1113"/>
      <c r="AG202" s="1113"/>
      <c r="AH202" s="1113"/>
      <c r="AI202" s="1113"/>
      <c r="AJ202" s="1113"/>
      <c r="AK202" s="1113"/>
      <c r="AL202" s="1113"/>
      <c r="AM202" s="1113"/>
      <c r="AN202" s="1113"/>
      <c r="AO202" s="1113"/>
      <c r="AP202" s="1113"/>
      <c r="AQ202" s="1113"/>
    </row>
    <row r="203" spans="1:43" s="1100" customFormat="1" ht="11.25" customHeight="1">
      <c r="B203" s="1274"/>
      <c r="E203" s="1275"/>
      <c r="F203" s="1275"/>
      <c r="G203" s="1275"/>
      <c r="H203" s="1275"/>
      <c r="I203" s="1275"/>
      <c r="J203" s="1275"/>
      <c r="K203" s="1275"/>
      <c r="L203" s="1275"/>
      <c r="M203" s="1106"/>
      <c r="N203" s="1109"/>
      <c r="O203" s="1109"/>
      <c r="P203" s="1110"/>
      <c r="Q203" s="1109"/>
      <c r="R203" s="1109"/>
      <c r="S203" s="1109"/>
      <c r="T203" s="1109"/>
      <c r="U203" s="1113"/>
      <c r="V203" s="1252"/>
      <c r="W203" s="1113"/>
      <c r="X203" s="1113"/>
      <c r="Y203" s="1113"/>
      <c r="Z203" s="1113"/>
      <c r="AA203" s="1113"/>
      <c r="AB203" s="1113"/>
      <c r="AC203" s="1113"/>
      <c r="AD203" s="1113"/>
      <c r="AE203" s="1113"/>
      <c r="AF203" s="1113"/>
      <c r="AG203" s="1113"/>
      <c r="AH203" s="1113"/>
      <c r="AI203" s="1113"/>
      <c r="AJ203" s="1113"/>
      <c r="AK203" s="1113"/>
      <c r="AL203" s="1113"/>
      <c r="AM203" s="1113"/>
      <c r="AN203" s="1113"/>
      <c r="AO203" s="1113"/>
      <c r="AP203" s="1113"/>
      <c r="AQ203" s="1113"/>
    </row>
    <row r="204" spans="1:43" ht="11.25" customHeight="1">
      <c r="B204" s="1247"/>
      <c r="E204" s="1155"/>
      <c r="F204" s="1155"/>
      <c r="G204" s="1155"/>
      <c r="H204" s="1155"/>
      <c r="I204" s="1155"/>
      <c r="J204" s="1155"/>
      <c r="K204" s="1155"/>
      <c r="L204" s="1155"/>
      <c r="N204" s="1093"/>
      <c r="O204" s="1093"/>
      <c r="Q204" s="1093"/>
      <c r="R204" s="1093"/>
      <c r="S204" s="1093"/>
      <c r="T204" s="1093"/>
    </row>
    <row r="205" spans="1:43" ht="11.25" customHeight="1">
      <c r="B205" s="1247"/>
      <c r="E205" s="1093"/>
      <c r="F205" s="1093"/>
      <c r="G205" s="1093"/>
      <c r="H205" s="1093"/>
      <c r="I205" s="1093"/>
      <c r="J205" s="1093"/>
      <c r="K205" s="1093"/>
      <c r="L205" s="1155"/>
      <c r="N205" s="1093"/>
      <c r="O205" s="1093"/>
      <c r="Q205" s="1093"/>
      <c r="R205" s="1093"/>
      <c r="S205" s="1093"/>
      <c r="T205" s="1093"/>
    </row>
    <row r="206" spans="1:43" ht="11.25" customHeight="1">
      <c r="B206" s="1247"/>
      <c r="E206" s="1093"/>
      <c r="F206" s="1093"/>
      <c r="G206" s="1093"/>
      <c r="H206" s="1093"/>
      <c r="I206" s="1093"/>
      <c r="J206" s="1093"/>
      <c r="K206" s="1093"/>
      <c r="L206" s="1155"/>
      <c r="N206" s="1093"/>
      <c r="O206" s="1093"/>
      <c r="Q206" s="1093"/>
      <c r="R206" s="1093"/>
      <c r="S206" s="1093"/>
      <c r="T206" s="1093"/>
    </row>
    <row r="207" spans="1:43" s="1053" customFormat="1" ht="11.25" customHeight="1">
      <c r="A207" s="1086"/>
      <c r="B207" s="1247"/>
      <c r="C207" s="1086"/>
      <c r="D207" s="1086"/>
      <c r="E207" s="1093"/>
      <c r="F207" s="1093"/>
      <c r="G207" s="1093"/>
      <c r="H207" s="1093"/>
      <c r="I207" s="1093"/>
      <c r="J207" s="1093"/>
      <c r="K207" s="1093"/>
      <c r="L207" s="1155"/>
      <c r="M207" s="1054"/>
      <c r="N207" s="1093"/>
      <c r="O207" s="1093"/>
      <c r="P207" s="1094"/>
      <c r="Q207" s="1093"/>
      <c r="R207" s="1093"/>
      <c r="S207" s="1093"/>
      <c r="T207" s="1093"/>
      <c r="V207" s="1052"/>
    </row>
    <row r="208" spans="1:43" s="1053" customFormat="1" ht="11.25" customHeight="1">
      <c r="A208" s="1086"/>
      <c r="B208" s="1247"/>
      <c r="C208" s="1086"/>
      <c r="D208" s="1086"/>
      <c r="E208" s="1093"/>
      <c r="F208" s="1093"/>
      <c r="G208" s="1093"/>
      <c r="H208" s="1093"/>
      <c r="I208" s="1093"/>
      <c r="J208" s="1093"/>
      <c r="K208" s="1093"/>
      <c r="L208" s="1155"/>
      <c r="M208" s="1054"/>
      <c r="N208" s="1093"/>
      <c r="O208" s="1093"/>
      <c r="P208" s="1094"/>
      <c r="Q208" s="1093"/>
      <c r="R208" s="1093"/>
      <c r="S208" s="1093"/>
      <c r="T208" s="1093"/>
      <c r="V208" s="1052"/>
    </row>
    <row r="209" spans="1:22" s="1053" customFormat="1" ht="11.25" customHeight="1">
      <c r="A209" s="1086"/>
      <c r="B209" s="1247"/>
      <c r="E209" s="1093"/>
      <c r="F209" s="1093"/>
      <c r="G209" s="1093"/>
      <c r="H209" s="1093"/>
      <c r="I209" s="1093"/>
      <c r="J209" s="1093"/>
      <c r="K209" s="1093"/>
      <c r="L209" s="1155"/>
      <c r="M209" s="1054"/>
      <c r="N209" s="1093"/>
      <c r="O209" s="1093"/>
      <c r="P209" s="1094"/>
      <c r="Q209" s="1093"/>
      <c r="R209" s="1093"/>
      <c r="S209" s="1093"/>
      <c r="T209" s="1093"/>
      <c r="V209" s="1052"/>
    </row>
    <row r="210" spans="1:22" s="1053" customFormat="1" ht="11.25" customHeight="1">
      <c r="A210" s="1086"/>
      <c r="B210" s="1247"/>
      <c r="C210" s="1086"/>
      <c r="E210" s="1093"/>
      <c r="F210" s="1093"/>
      <c r="G210" s="1093"/>
      <c r="H210" s="1093"/>
      <c r="I210" s="1093"/>
      <c r="J210" s="1093"/>
      <c r="K210" s="1093"/>
      <c r="L210" s="1155"/>
      <c r="M210" s="1054"/>
      <c r="N210" s="1093"/>
      <c r="O210" s="1093"/>
      <c r="P210" s="1094"/>
      <c r="Q210" s="1093"/>
      <c r="R210" s="1093"/>
      <c r="S210" s="1093"/>
      <c r="T210" s="1093"/>
      <c r="V210" s="1052"/>
    </row>
    <row r="211" spans="1:22" s="1053" customFormat="1" ht="11.25" customHeight="1">
      <c r="A211" s="1086"/>
      <c r="B211" s="1247"/>
      <c r="C211" s="1093"/>
      <c r="E211" s="1093"/>
      <c r="F211" s="1093"/>
      <c r="G211" s="1093"/>
      <c r="H211" s="1093"/>
      <c r="I211" s="1093"/>
      <c r="J211" s="1093"/>
      <c r="K211" s="1093"/>
      <c r="L211" s="1155"/>
      <c r="M211" s="1054"/>
      <c r="N211" s="1093"/>
      <c r="O211" s="1093"/>
      <c r="P211" s="1094"/>
      <c r="Q211" s="1093"/>
      <c r="R211" s="1093"/>
      <c r="S211" s="1093"/>
      <c r="T211" s="1093"/>
      <c r="V211" s="1052"/>
    </row>
    <row r="212" spans="1:22" s="1053" customFormat="1" ht="11.25" customHeight="1">
      <c r="A212" s="1086"/>
      <c r="B212" s="1247"/>
      <c r="C212" s="1093"/>
      <c r="E212" s="1093"/>
      <c r="F212" s="1093"/>
      <c r="G212" s="1093"/>
      <c r="H212" s="1093"/>
      <c r="I212" s="1093"/>
      <c r="J212" s="1093"/>
      <c r="K212" s="1093"/>
      <c r="L212" s="1155"/>
      <c r="M212" s="1054"/>
      <c r="N212" s="1093"/>
      <c r="O212" s="1093"/>
      <c r="P212" s="1094"/>
      <c r="Q212" s="1093"/>
      <c r="R212" s="1093"/>
      <c r="S212" s="1093"/>
      <c r="T212" s="1093"/>
      <c r="V212" s="1052"/>
    </row>
    <row r="213" spans="1:22" s="1053" customFormat="1" ht="11.25" customHeight="1">
      <c r="A213" s="1086"/>
      <c r="B213" s="1247"/>
      <c r="C213" s="1093"/>
      <c r="E213" s="1093"/>
      <c r="F213" s="1093"/>
      <c r="G213" s="1093"/>
      <c r="H213" s="1093"/>
      <c r="I213" s="1093"/>
      <c r="J213" s="1093"/>
      <c r="K213" s="1093"/>
      <c r="L213" s="1155"/>
      <c r="M213" s="1054"/>
      <c r="N213" s="1093"/>
      <c r="O213" s="1093"/>
      <c r="P213" s="1094"/>
      <c r="Q213" s="1093"/>
      <c r="R213" s="1093"/>
      <c r="S213" s="1093"/>
      <c r="T213" s="1093"/>
      <c r="V213" s="1052"/>
    </row>
    <row r="214" spans="1:22" s="1053" customFormat="1" ht="11.25" customHeight="1">
      <c r="A214" s="1086"/>
      <c r="B214" s="1247"/>
      <c r="C214" s="1093"/>
      <c r="E214" s="1093"/>
      <c r="F214" s="1093"/>
      <c r="G214" s="1093"/>
      <c r="H214" s="1093"/>
      <c r="I214" s="1093"/>
      <c r="J214" s="1093"/>
      <c r="K214" s="1093"/>
      <c r="L214" s="1155"/>
      <c r="M214" s="1054"/>
      <c r="N214" s="1093"/>
      <c r="O214" s="1093"/>
      <c r="P214" s="1094"/>
      <c r="Q214" s="1093"/>
      <c r="R214" s="1093"/>
      <c r="S214" s="1093"/>
      <c r="T214" s="1093"/>
      <c r="V214" s="1052"/>
    </row>
    <row r="215" spans="1:22" s="1053" customFormat="1" ht="11.25" customHeight="1">
      <c r="A215" s="1086"/>
      <c r="B215" s="1247"/>
      <c r="C215" s="1093"/>
      <c r="E215" s="1093"/>
      <c r="F215" s="1093"/>
      <c r="G215" s="1093"/>
      <c r="H215" s="1093"/>
      <c r="I215" s="1093"/>
      <c r="J215" s="1093"/>
      <c r="K215" s="1093"/>
      <c r="L215" s="1155"/>
      <c r="M215" s="1054"/>
      <c r="N215" s="1093"/>
      <c r="O215" s="1093"/>
      <c r="P215" s="1094"/>
      <c r="Q215" s="1093"/>
      <c r="R215" s="1093"/>
      <c r="S215" s="1093"/>
      <c r="T215" s="1093"/>
      <c r="V215" s="1052"/>
    </row>
    <row r="216" spans="1:22" s="1053" customFormat="1" ht="11.25" customHeight="1">
      <c r="A216" s="1086"/>
      <c r="B216" s="1247"/>
      <c r="C216" s="1093"/>
      <c r="E216" s="1093"/>
      <c r="F216" s="1093"/>
      <c r="G216" s="1093"/>
      <c r="H216" s="1093"/>
      <c r="I216" s="1093"/>
      <c r="J216" s="1093"/>
      <c r="K216" s="1093"/>
      <c r="L216" s="1155"/>
      <c r="M216" s="1054"/>
      <c r="N216" s="1093"/>
      <c r="O216" s="1093"/>
      <c r="P216" s="1094"/>
      <c r="Q216" s="1093"/>
      <c r="R216" s="1093"/>
      <c r="S216" s="1093"/>
      <c r="T216" s="1093"/>
      <c r="V216" s="1052"/>
    </row>
    <row r="217" spans="1:22" s="1053" customFormat="1" ht="11.25" customHeight="1">
      <c r="A217" s="1086"/>
      <c r="B217" s="1247"/>
      <c r="C217" s="1093"/>
      <c r="E217" s="1093"/>
      <c r="F217" s="1093"/>
      <c r="G217" s="1093"/>
      <c r="H217" s="1093"/>
      <c r="I217" s="1093"/>
      <c r="J217" s="1093"/>
      <c r="K217" s="1093"/>
      <c r="L217" s="1155"/>
      <c r="M217" s="1054"/>
      <c r="N217" s="1093"/>
      <c r="O217" s="1093"/>
      <c r="P217" s="1094"/>
      <c r="Q217" s="1093"/>
      <c r="R217" s="1093"/>
      <c r="S217" s="1093"/>
      <c r="T217" s="1093"/>
      <c r="V217" s="1052"/>
    </row>
    <row r="218" spans="1:22" s="1053" customFormat="1" ht="11.25" customHeight="1">
      <c r="A218" s="1086"/>
      <c r="B218" s="1247"/>
      <c r="C218" s="1093"/>
      <c r="E218" s="1093"/>
      <c r="F218" s="1093"/>
      <c r="G218" s="1093"/>
      <c r="H218" s="1093"/>
      <c r="I218" s="1093"/>
      <c r="J218" s="1093"/>
      <c r="K218" s="1093"/>
      <c r="L218" s="1155"/>
      <c r="M218" s="1054"/>
      <c r="N218" s="1093"/>
      <c r="O218" s="1093"/>
      <c r="P218" s="1094"/>
      <c r="Q218" s="1093"/>
      <c r="R218" s="1093"/>
      <c r="S218" s="1093"/>
      <c r="T218" s="1093"/>
      <c r="V218" s="1052"/>
    </row>
    <row r="219" spans="1:22" s="1053" customFormat="1" ht="11.25" customHeight="1">
      <c r="A219" s="1086"/>
      <c r="B219" s="1247"/>
      <c r="C219" s="1093"/>
      <c r="E219" s="1093"/>
      <c r="F219" s="1093"/>
      <c r="G219" s="1093"/>
      <c r="H219" s="1093"/>
      <c r="I219" s="1093"/>
      <c r="J219" s="1093"/>
      <c r="K219" s="1093"/>
      <c r="L219" s="1155"/>
      <c r="M219" s="1054"/>
      <c r="N219" s="1093"/>
      <c r="O219" s="1093"/>
      <c r="P219" s="1094"/>
      <c r="Q219" s="1093"/>
      <c r="R219" s="1093"/>
      <c r="S219" s="1093"/>
      <c r="T219" s="1093"/>
      <c r="V219" s="1052"/>
    </row>
    <row r="220" spans="1:22" s="1053" customFormat="1" ht="11.25" customHeight="1">
      <c r="A220" s="1086"/>
      <c r="B220" s="1247"/>
      <c r="C220" s="1276"/>
      <c r="E220" s="1093"/>
      <c r="F220" s="1093"/>
      <c r="G220" s="1093"/>
      <c r="H220" s="1093"/>
      <c r="I220" s="1093"/>
      <c r="J220" s="1093"/>
      <c r="K220" s="1093"/>
      <c r="L220" s="1155"/>
      <c r="M220" s="1054"/>
      <c r="N220" s="1093"/>
      <c r="O220" s="1093"/>
      <c r="P220" s="1094"/>
      <c r="Q220" s="1093"/>
      <c r="R220" s="1093"/>
      <c r="S220" s="1093"/>
      <c r="T220" s="1093"/>
      <c r="V220" s="1052"/>
    </row>
    <row r="221" spans="1:22" s="1053" customFormat="1" ht="11.25" customHeight="1">
      <c r="A221" s="1086"/>
      <c r="B221" s="1247"/>
      <c r="C221" s="1276"/>
      <c r="E221" s="1093"/>
      <c r="F221" s="1093"/>
      <c r="G221" s="1093"/>
      <c r="H221" s="1093"/>
      <c r="I221" s="1093"/>
      <c r="J221" s="1093"/>
      <c r="K221" s="1093"/>
      <c r="L221" s="1155"/>
      <c r="M221" s="1054"/>
      <c r="N221" s="1093"/>
      <c r="O221" s="1093"/>
      <c r="P221" s="1094"/>
      <c r="Q221" s="1093"/>
      <c r="R221" s="1093"/>
      <c r="S221" s="1093"/>
      <c r="T221" s="1093"/>
      <c r="V221" s="1052"/>
    </row>
    <row r="222" spans="1:22" s="1053" customFormat="1" ht="11.25" customHeight="1">
      <c r="A222" s="1086"/>
      <c r="B222" s="1247"/>
      <c r="C222" s="1276"/>
      <c r="E222" s="1093"/>
      <c r="F222" s="1093"/>
      <c r="G222" s="1093"/>
      <c r="H222" s="1093"/>
      <c r="I222" s="1093"/>
      <c r="J222" s="1093"/>
      <c r="K222" s="1093"/>
      <c r="L222" s="1155"/>
      <c r="M222" s="1054"/>
      <c r="N222" s="1093"/>
      <c r="O222" s="1093"/>
      <c r="P222" s="1094"/>
      <c r="Q222" s="1093"/>
      <c r="R222" s="1093"/>
      <c r="S222" s="1093"/>
      <c r="T222" s="1093"/>
      <c r="V222" s="1052"/>
    </row>
    <row r="223" spans="1:22" s="1053" customFormat="1" ht="11.25" customHeight="1">
      <c r="A223" s="1086"/>
      <c r="B223" s="1247"/>
      <c r="C223" s="1276"/>
      <c r="E223" s="1093"/>
      <c r="F223" s="1093"/>
      <c r="G223" s="1093"/>
      <c r="H223" s="1093"/>
      <c r="I223" s="1093"/>
      <c r="J223" s="1093"/>
      <c r="K223" s="1093"/>
      <c r="L223" s="1155"/>
      <c r="M223" s="1054"/>
      <c r="N223" s="1093"/>
      <c r="O223" s="1093"/>
      <c r="P223" s="1094"/>
      <c r="Q223" s="1093"/>
      <c r="R223" s="1093"/>
      <c r="S223" s="1093"/>
      <c r="T223" s="1093"/>
      <c r="V223" s="1052"/>
    </row>
    <row r="224" spans="1:22" s="1053" customFormat="1" ht="11.25" customHeight="1">
      <c r="A224" s="1086"/>
      <c r="B224" s="1247"/>
      <c r="C224" s="1277"/>
      <c r="E224" s="1093"/>
      <c r="F224" s="1093"/>
      <c r="G224" s="1093"/>
      <c r="H224" s="1093"/>
      <c r="I224" s="1093"/>
      <c r="J224" s="1093"/>
      <c r="K224" s="1093"/>
      <c r="L224" s="1155"/>
      <c r="M224" s="1054"/>
      <c r="N224" s="1093"/>
      <c r="O224" s="1093"/>
      <c r="P224" s="1094"/>
      <c r="Q224" s="1093"/>
      <c r="R224" s="1093"/>
      <c r="S224" s="1093"/>
      <c r="T224" s="1093"/>
      <c r="V224" s="1052"/>
    </row>
    <row r="225" spans="1:43" s="1053" customFormat="1" ht="11.25" customHeight="1">
      <c r="A225" s="1086"/>
      <c r="B225" s="1247"/>
      <c r="C225" s="1276"/>
      <c r="E225" s="1093"/>
      <c r="F225" s="1093"/>
      <c r="G225" s="1093"/>
      <c r="H225" s="1093"/>
      <c r="I225" s="1093"/>
      <c r="J225" s="1093"/>
      <c r="K225" s="1093"/>
      <c r="L225" s="1155"/>
      <c r="M225" s="1054"/>
      <c r="N225" s="1093"/>
      <c r="O225" s="1093"/>
      <c r="P225" s="1094"/>
      <c r="Q225" s="1093"/>
      <c r="R225" s="1093"/>
      <c r="S225" s="1093"/>
      <c r="T225" s="1093"/>
      <c r="V225" s="1052"/>
    </row>
    <row r="226" spans="1:43" s="1053" customFormat="1" ht="11.25" customHeight="1">
      <c r="A226" s="1086"/>
      <c r="B226" s="1247"/>
      <c r="C226" s="1276"/>
      <c r="E226" s="1093"/>
      <c r="F226" s="1093"/>
      <c r="G226" s="1093"/>
      <c r="H226" s="1093"/>
      <c r="I226" s="1093"/>
      <c r="J226" s="1093"/>
      <c r="K226" s="1093"/>
      <c r="L226" s="1155"/>
      <c r="M226" s="1054"/>
      <c r="N226" s="1093"/>
      <c r="O226" s="1093"/>
      <c r="P226" s="1094"/>
      <c r="Q226" s="1093"/>
      <c r="R226" s="1093"/>
      <c r="S226" s="1093"/>
      <c r="T226" s="1093"/>
      <c r="V226" s="1052"/>
    </row>
    <row r="227" spans="1:43" s="1053" customFormat="1" ht="11.25" customHeight="1">
      <c r="A227" s="1086"/>
      <c r="B227" s="1247"/>
      <c r="C227" s="1276"/>
      <c r="E227" s="1093"/>
      <c r="F227" s="1093"/>
      <c r="G227" s="1093"/>
      <c r="H227" s="1093"/>
      <c r="I227" s="1093"/>
      <c r="J227" s="1093"/>
      <c r="K227" s="1093"/>
      <c r="L227" s="1155"/>
      <c r="M227" s="1054"/>
      <c r="N227" s="1093"/>
      <c r="O227" s="1093"/>
      <c r="P227" s="1094"/>
      <c r="Q227" s="1093"/>
      <c r="R227" s="1093"/>
      <c r="S227" s="1093"/>
      <c r="T227" s="1093"/>
      <c r="V227" s="1052"/>
    </row>
    <row r="228" spans="1:43" s="1053" customFormat="1" ht="11.25" customHeight="1">
      <c r="A228" s="1086"/>
      <c r="B228" s="1247"/>
      <c r="C228" s="1276"/>
      <c r="E228" s="1093"/>
      <c r="F228" s="1093"/>
      <c r="G228" s="1093"/>
      <c r="H228" s="1093"/>
      <c r="I228" s="1093"/>
      <c r="J228" s="1093"/>
      <c r="K228" s="1093"/>
      <c r="L228" s="1155"/>
      <c r="M228" s="1054"/>
      <c r="N228" s="1093"/>
      <c r="O228" s="1093"/>
      <c r="P228" s="1094"/>
      <c r="Q228" s="1093"/>
      <c r="R228" s="1093"/>
      <c r="S228" s="1093"/>
      <c r="T228" s="1093"/>
      <c r="V228" s="1052"/>
    </row>
    <row r="229" spans="1:43" s="1053" customFormat="1" ht="11.25" customHeight="1">
      <c r="A229" s="1086"/>
      <c r="B229" s="1247"/>
      <c r="C229" s="1093"/>
      <c r="E229" s="1093"/>
      <c r="F229" s="1093"/>
      <c r="G229" s="1093"/>
      <c r="H229" s="1093"/>
      <c r="I229" s="1093"/>
      <c r="J229" s="1093"/>
      <c r="K229" s="1093"/>
      <c r="L229" s="1155"/>
      <c r="M229" s="1054"/>
      <c r="N229" s="1093"/>
      <c r="O229" s="1093"/>
      <c r="P229" s="1094"/>
      <c r="Q229" s="1093"/>
      <c r="R229" s="1093"/>
      <c r="S229" s="1093"/>
      <c r="T229" s="1093"/>
      <c r="V229" s="1052"/>
    </row>
    <row r="230" spans="1:43" s="1053" customFormat="1" ht="11.25" customHeight="1">
      <c r="A230" s="1086"/>
      <c r="B230" s="1247"/>
      <c r="C230" s="1276"/>
      <c r="E230" s="1093"/>
      <c r="F230" s="1093"/>
      <c r="G230" s="1093"/>
      <c r="H230" s="1093"/>
      <c r="I230" s="1093"/>
      <c r="J230" s="1093"/>
      <c r="K230" s="1093"/>
      <c r="L230" s="1155"/>
      <c r="M230" s="1054"/>
      <c r="N230" s="1093"/>
      <c r="O230" s="1093"/>
      <c r="P230" s="1094"/>
      <c r="Q230" s="1093"/>
      <c r="R230" s="1093"/>
      <c r="S230" s="1093"/>
      <c r="T230" s="1093"/>
      <c r="V230" s="1052"/>
    </row>
    <row r="231" spans="1:43" s="1053" customFormat="1" ht="11.25" customHeight="1">
      <c r="A231" s="1086"/>
      <c r="B231" s="1247"/>
      <c r="C231" s="1093"/>
      <c r="E231" s="1093"/>
      <c r="F231" s="1093"/>
      <c r="G231" s="1093"/>
      <c r="H231" s="1093"/>
      <c r="I231" s="1093"/>
      <c r="J231" s="1093"/>
      <c r="K231" s="1093"/>
      <c r="L231" s="1155"/>
      <c r="M231" s="1054"/>
      <c r="N231" s="1093"/>
      <c r="O231" s="1093"/>
      <c r="P231" s="1094"/>
      <c r="Q231" s="1093"/>
      <c r="R231" s="1093"/>
      <c r="S231" s="1093"/>
      <c r="T231" s="1093"/>
      <c r="V231" s="1052"/>
    </row>
    <row r="232" spans="1:43" s="1053" customFormat="1" ht="11.25" customHeight="1">
      <c r="A232" s="1086"/>
      <c r="B232" s="1247"/>
      <c r="C232" s="1086"/>
      <c r="E232" s="1093"/>
      <c r="F232" s="1093"/>
      <c r="G232" s="1093"/>
      <c r="H232" s="1093"/>
      <c r="I232" s="1093"/>
      <c r="J232" s="1093"/>
      <c r="K232" s="1093"/>
      <c r="L232" s="1155"/>
      <c r="M232" s="1054"/>
      <c r="N232" s="1093"/>
      <c r="O232" s="1093"/>
      <c r="P232" s="1094"/>
      <c r="Q232" s="1093"/>
      <c r="R232" s="1093"/>
      <c r="S232" s="1093"/>
      <c r="T232" s="1093"/>
      <c r="V232" s="1052"/>
    </row>
    <row r="233" spans="1:43" s="1053" customFormat="1" ht="11.25" customHeight="1">
      <c r="A233" s="1086"/>
      <c r="B233" s="1052"/>
      <c r="E233" s="1093"/>
      <c r="F233" s="1093"/>
      <c r="G233" s="1093"/>
      <c r="H233" s="1093"/>
      <c r="I233" s="1093"/>
      <c r="J233" s="1093"/>
      <c r="K233" s="1093"/>
      <c r="L233" s="1155"/>
      <c r="M233" s="1054"/>
      <c r="N233" s="1093"/>
      <c r="O233" s="1093"/>
      <c r="P233" s="1094"/>
      <c r="Q233" s="1093"/>
      <c r="R233" s="1093"/>
      <c r="S233" s="1093"/>
      <c r="T233" s="1093"/>
      <c r="V233" s="1052"/>
    </row>
    <row r="234" spans="1:43" s="1053" customFormat="1" ht="11.25" customHeight="1">
      <c r="A234" s="1086"/>
      <c r="B234" s="1052"/>
      <c r="E234" s="1093"/>
      <c r="F234" s="1093"/>
      <c r="G234" s="1093"/>
      <c r="H234" s="1093"/>
      <c r="I234" s="1093"/>
      <c r="J234" s="1093"/>
      <c r="K234" s="1093"/>
      <c r="L234" s="1155"/>
      <c r="M234" s="1054"/>
      <c r="N234" s="1093"/>
      <c r="O234" s="1093"/>
      <c r="P234" s="1094"/>
      <c r="Q234" s="1093"/>
      <c r="R234" s="1093"/>
      <c r="S234" s="1093"/>
      <c r="T234" s="1093"/>
      <c r="V234" s="1052"/>
    </row>
    <row r="235" spans="1:43" s="1053" customFormat="1" ht="11.25" customHeight="1">
      <c r="A235" s="1086"/>
      <c r="B235" s="1052"/>
      <c r="E235" s="1093"/>
      <c r="F235" s="1093"/>
      <c r="G235" s="1093"/>
      <c r="H235" s="1093"/>
      <c r="I235" s="1093"/>
      <c r="J235" s="1093"/>
      <c r="K235" s="1093"/>
      <c r="L235" s="1155"/>
      <c r="M235" s="1054"/>
      <c r="N235" s="1093"/>
      <c r="O235" s="1093"/>
      <c r="P235" s="1094"/>
      <c r="Q235" s="1093"/>
      <c r="R235" s="1093"/>
      <c r="S235" s="1093"/>
      <c r="T235" s="1093"/>
      <c r="V235" s="1052"/>
    </row>
    <row r="236" spans="1:43" s="1053" customFormat="1" ht="11.25" customHeight="1">
      <c r="A236" s="1086"/>
      <c r="B236" s="1052"/>
      <c r="C236" s="1086"/>
      <c r="D236" s="1086"/>
      <c r="E236" s="1093"/>
      <c r="F236" s="1093"/>
      <c r="G236" s="1093"/>
      <c r="H236" s="1093"/>
      <c r="I236" s="1093"/>
      <c r="J236" s="1093"/>
      <c r="K236" s="1093"/>
      <c r="L236" s="1155"/>
      <c r="M236" s="1054"/>
      <c r="N236" s="1093"/>
      <c r="O236" s="1093"/>
      <c r="P236" s="1094"/>
      <c r="R236" s="1093"/>
      <c r="S236" s="1093"/>
      <c r="T236" s="1093"/>
      <c r="V236" s="1052"/>
    </row>
    <row r="237" spans="1:43" s="1053" customFormat="1" ht="11.25" customHeight="1">
      <c r="A237" s="1086"/>
      <c r="B237" s="1052"/>
      <c r="C237" s="1086"/>
      <c r="D237" s="1086"/>
      <c r="E237" s="1093"/>
      <c r="F237" s="1093"/>
      <c r="G237" s="1093"/>
      <c r="H237" s="1093"/>
      <c r="I237" s="1093"/>
      <c r="J237" s="1093"/>
      <c r="K237" s="1093"/>
      <c r="L237" s="1155"/>
      <c r="M237" s="1054"/>
      <c r="N237" s="1093"/>
      <c r="O237" s="1093"/>
      <c r="P237" s="1094"/>
      <c r="R237" s="1093"/>
      <c r="S237" s="1093"/>
      <c r="T237" s="1093"/>
      <c r="V237" s="1052"/>
    </row>
    <row r="238" spans="1:43" s="1053" customFormat="1" ht="11.25" customHeight="1">
      <c r="A238" s="1086"/>
      <c r="B238" s="1052"/>
      <c r="C238" s="1093"/>
      <c r="D238" s="1086"/>
      <c r="E238" s="1093"/>
      <c r="F238" s="1093"/>
      <c r="G238" s="1093"/>
      <c r="H238" s="1093"/>
      <c r="I238" s="1093"/>
      <c r="J238" s="1093"/>
      <c r="K238" s="1093"/>
      <c r="L238" s="1155"/>
      <c r="M238" s="1054"/>
      <c r="N238" s="1093"/>
      <c r="O238" s="1093"/>
      <c r="P238" s="1094"/>
      <c r="R238" s="1093"/>
      <c r="S238" s="1093"/>
      <c r="T238" s="1093"/>
      <c r="V238" s="1052"/>
    </row>
    <row r="239" spans="1:43" s="1052" customFormat="1" ht="11.25" customHeight="1">
      <c r="A239" s="1086"/>
      <c r="C239" s="1093"/>
      <c r="D239" s="1086"/>
      <c r="E239" s="1093"/>
      <c r="F239" s="1093"/>
      <c r="G239" s="1093"/>
      <c r="H239" s="1093"/>
      <c r="I239" s="1093"/>
      <c r="J239" s="1093"/>
      <c r="K239" s="1093"/>
      <c r="L239" s="1155"/>
      <c r="M239" s="1054"/>
      <c r="N239" s="1093"/>
      <c r="O239" s="1093"/>
      <c r="P239" s="1094"/>
      <c r="Q239" s="1053"/>
      <c r="R239" s="1093"/>
      <c r="S239" s="1093"/>
      <c r="T239" s="1093"/>
      <c r="U239" s="1053"/>
      <c r="W239" s="1053"/>
      <c r="X239" s="1053"/>
      <c r="Y239" s="1053"/>
      <c r="Z239" s="1053"/>
      <c r="AA239" s="1053"/>
      <c r="AB239" s="1053"/>
      <c r="AC239" s="1053"/>
      <c r="AD239" s="1053"/>
      <c r="AE239" s="1053"/>
      <c r="AF239" s="1053"/>
      <c r="AG239" s="1053"/>
      <c r="AH239" s="1053"/>
      <c r="AI239" s="1053"/>
      <c r="AJ239" s="1053"/>
      <c r="AK239" s="1053"/>
      <c r="AL239" s="1053"/>
      <c r="AM239" s="1053"/>
      <c r="AN239" s="1053"/>
      <c r="AO239" s="1053"/>
      <c r="AP239" s="1053"/>
      <c r="AQ239" s="1053"/>
    </row>
    <row r="240" spans="1:43" s="1052" customFormat="1" ht="11.25" customHeight="1">
      <c r="A240" s="1086"/>
      <c r="C240" s="1053"/>
      <c r="D240" s="1086"/>
      <c r="E240" s="1053"/>
      <c r="F240" s="1053"/>
      <c r="G240" s="1053"/>
      <c r="H240" s="1053"/>
      <c r="I240" s="1053"/>
      <c r="J240" s="1053"/>
      <c r="K240" s="1053"/>
      <c r="L240" s="1086"/>
      <c r="M240" s="1054"/>
      <c r="N240" s="1053"/>
      <c r="O240" s="1053"/>
      <c r="P240" s="1094"/>
      <c r="Q240" s="1053"/>
      <c r="R240" s="1053"/>
      <c r="S240" s="1053"/>
      <c r="T240" s="1053"/>
      <c r="U240" s="1053"/>
      <c r="W240" s="1053"/>
      <c r="X240" s="1053"/>
      <c r="Y240" s="1053"/>
      <c r="Z240" s="1053"/>
      <c r="AA240" s="1053"/>
      <c r="AB240" s="1053"/>
      <c r="AC240" s="1053"/>
      <c r="AD240" s="1053"/>
      <c r="AE240" s="1053"/>
      <c r="AF240" s="1053"/>
      <c r="AG240" s="1053"/>
      <c r="AH240" s="1053"/>
      <c r="AI240" s="1053"/>
      <c r="AJ240" s="1053"/>
      <c r="AK240" s="1053"/>
      <c r="AL240" s="1053"/>
      <c r="AM240" s="1053"/>
      <c r="AN240" s="1053"/>
      <c r="AO240" s="1053"/>
      <c r="AP240" s="1053"/>
      <c r="AQ240" s="1053"/>
    </row>
    <row r="241" spans="1:43" s="1052" customFormat="1" ht="11.25" customHeight="1">
      <c r="A241" s="1086"/>
      <c r="C241" s="1086"/>
      <c r="D241" s="1053"/>
      <c r="E241" s="1053"/>
      <c r="F241" s="1053"/>
      <c r="G241" s="1053"/>
      <c r="H241" s="1053"/>
      <c r="I241" s="1053"/>
      <c r="J241" s="1053"/>
      <c r="K241" s="1053"/>
      <c r="L241" s="1086"/>
      <c r="M241" s="1054"/>
      <c r="N241" s="1053"/>
      <c r="O241" s="1053"/>
      <c r="P241" s="1094"/>
      <c r="Q241" s="1053"/>
      <c r="R241" s="1053"/>
      <c r="S241" s="1053"/>
      <c r="T241" s="1053"/>
      <c r="U241" s="1053"/>
      <c r="W241" s="1053"/>
      <c r="X241" s="1053"/>
      <c r="Y241" s="1053"/>
      <c r="Z241" s="1053"/>
      <c r="AA241" s="1053"/>
      <c r="AB241" s="1053"/>
      <c r="AC241" s="1053"/>
      <c r="AD241" s="1053"/>
      <c r="AE241" s="1053"/>
      <c r="AF241" s="1053"/>
      <c r="AG241" s="1053"/>
      <c r="AH241" s="1053"/>
      <c r="AI241" s="1053"/>
      <c r="AJ241" s="1053"/>
      <c r="AK241" s="1053"/>
      <c r="AL241" s="1053"/>
      <c r="AM241" s="1053"/>
      <c r="AN241" s="1053"/>
      <c r="AO241" s="1053"/>
      <c r="AP241" s="1053"/>
      <c r="AQ241" s="1053"/>
    </row>
    <row r="242" spans="1:43" s="1052" customFormat="1" ht="11.25" customHeight="1">
      <c r="A242" s="1086"/>
      <c r="C242" s="1053"/>
      <c r="D242" s="1053"/>
      <c r="E242" s="1053"/>
      <c r="F242" s="1053"/>
      <c r="G242" s="1053"/>
      <c r="H242" s="1053"/>
      <c r="I242" s="1053"/>
      <c r="J242" s="1053"/>
      <c r="K242" s="1053"/>
      <c r="L242" s="1086"/>
      <c r="M242" s="1054"/>
      <c r="N242" s="1053"/>
      <c r="O242" s="1053"/>
      <c r="P242" s="1094"/>
      <c r="Q242" s="1053"/>
      <c r="R242" s="1053"/>
      <c r="S242" s="1053"/>
      <c r="T242" s="1053"/>
      <c r="U242" s="1053"/>
      <c r="W242" s="1053"/>
      <c r="X242" s="1053"/>
      <c r="Y242" s="1053"/>
      <c r="Z242" s="1053"/>
      <c r="AA242" s="1053"/>
      <c r="AB242" s="1053"/>
      <c r="AC242" s="1053"/>
      <c r="AD242" s="1053"/>
      <c r="AE242" s="1053"/>
      <c r="AF242" s="1053"/>
      <c r="AG242" s="1053"/>
      <c r="AH242" s="1053"/>
      <c r="AI242" s="1053"/>
      <c r="AJ242" s="1053"/>
      <c r="AK242" s="1053"/>
      <c r="AL242" s="1053"/>
      <c r="AM242" s="1053"/>
      <c r="AN242" s="1053"/>
      <c r="AO242" s="1053"/>
      <c r="AP242" s="1053"/>
      <c r="AQ242" s="1053"/>
    </row>
    <row r="243" spans="1:43" s="1052" customFormat="1" ht="11.25" customHeight="1">
      <c r="A243" s="1086"/>
      <c r="C243" s="1055"/>
      <c r="D243" s="1086"/>
      <c r="E243" s="1053"/>
      <c r="F243" s="1053"/>
      <c r="G243" s="1053"/>
      <c r="H243" s="1053"/>
      <c r="I243" s="1053"/>
      <c r="J243" s="1053"/>
      <c r="K243" s="1053"/>
      <c r="L243" s="1086"/>
      <c r="M243" s="1054"/>
      <c r="N243" s="1053"/>
      <c r="O243" s="1053"/>
      <c r="P243" s="1094"/>
      <c r="Q243" s="1053"/>
      <c r="R243" s="1053"/>
      <c r="S243" s="1053"/>
      <c r="T243" s="1053"/>
      <c r="U243" s="1053"/>
      <c r="W243" s="1053"/>
      <c r="X243" s="1053"/>
      <c r="Y243" s="1053"/>
      <c r="Z243" s="1053"/>
      <c r="AA243" s="1053"/>
      <c r="AB243" s="1053"/>
      <c r="AC243" s="1053"/>
      <c r="AD243" s="1053"/>
      <c r="AE243" s="1053"/>
      <c r="AF243" s="1053"/>
      <c r="AG243" s="1053"/>
      <c r="AH243" s="1053"/>
      <c r="AI243" s="1053"/>
      <c r="AJ243" s="1053"/>
      <c r="AK243" s="1053"/>
      <c r="AL243" s="1053"/>
      <c r="AM243" s="1053"/>
      <c r="AN243" s="1053"/>
      <c r="AO243" s="1053"/>
      <c r="AP243" s="1053"/>
      <c r="AQ243" s="1053"/>
    </row>
    <row r="244" spans="1:43" s="1052" customFormat="1" ht="11.25" customHeight="1">
      <c r="A244" s="1086"/>
      <c r="C244" s="1053"/>
      <c r="D244" s="1053"/>
      <c r="E244" s="1053"/>
      <c r="F244" s="1053"/>
      <c r="G244" s="1053"/>
      <c r="H244" s="1053"/>
      <c r="I244" s="1053"/>
      <c r="J244" s="1053"/>
      <c r="K244" s="1053"/>
      <c r="L244" s="1086"/>
      <c r="M244" s="1054"/>
      <c r="N244" s="1053"/>
      <c r="O244" s="1053"/>
      <c r="P244" s="1094"/>
      <c r="Q244" s="1053"/>
      <c r="R244" s="1053"/>
      <c r="S244" s="1053"/>
      <c r="T244" s="1053"/>
      <c r="U244" s="1053"/>
      <c r="W244" s="1053"/>
      <c r="X244" s="1053"/>
      <c r="Y244" s="1053"/>
      <c r="Z244" s="1053"/>
      <c r="AA244" s="1053"/>
      <c r="AB244" s="1053"/>
      <c r="AC244" s="1053"/>
      <c r="AD244" s="1053"/>
      <c r="AE244" s="1053"/>
      <c r="AF244" s="1053"/>
      <c r="AG244" s="1053"/>
      <c r="AH244" s="1053"/>
      <c r="AI244" s="1053"/>
      <c r="AJ244" s="1053"/>
      <c r="AK244" s="1053"/>
      <c r="AL244" s="1053"/>
      <c r="AM244" s="1053"/>
      <c r="AN244" s="1053"/>
      <c r="AO244" s="1053"/>
      <c r="AP244" s="1053"/>
      <c r="AQ244" s="1053"/>
    </row>
    <row r="245" spans="1:43" s="1052" customFormat="1" ht="11.25" customHeight="1">
      <c r="A245" s="1086"/>
      <c r="B245" s="1247"/>
      <c r="C245" s="1086"/>
      <c r="D245" s="1086"/>
      <c r="E245" s="1053"/>
      <c r="F245" s="1053"/>
      <c r="G245" s="1053"/>
      <c r="H245" s="1053"/>
      <c r="I245" s="1053"/>
      <c r="J245" s="1053"/>
      <c r="K245" s="1053"/>
      <c r="L245" s="1247"/>
      <c r="M245" s="1054"/>
      <c r="N245" s="1053"/>
      <c r="O245" s="1053"/>
      <c r="P245" s="1094"/>
      <c r="Q245" s="1053"/>
      <c r="R245" s="1053"/>
      <c r="S245" s="1053"/>
      <c r="T245" s="1053"/>
      <c r="W245" s="1053"/>
      <c r="X245" s="1053"/>
      <c r="Y245" s="1053"/>
      <c r="Z245" s="1053"/>
      <c r="AA245" s="1053"/>
      <c r="AB245" s="1053"/>
      <c r="AC245" s="1053"/>
      <c r="AD245" s="1053"/>
      <c r="AE245" s="1053"/>
      <c r="AF245" s="1053"/>
      <c r="AG245" s="1053"/>
      <c r="AH245" s="1053"/>
      <c r="AI245" s="1053"/>
      <c r="AJ245" s="1053"/>
      <c r="AK245" s="1053"/>
      <c r="AL245" s="1053"/>
      <c r="AM245" s="1053"/>
      <c r="AN245" s="1053"/>
      <c r="AO245" s="1053"/>
      <c r="AP245" s="1053"/>
      <c r="AQ245" s="1053"/>
    </row>
    <row r="246" spans="1:43" s="1052" customFormat="1" ht="11.25" customHeight="1">
      <c r="A246" s="1086"/>
      <c r="B246" s="1247"/>
      <c r="C246" s="1086"/>
      <c r="D246" s="1086"/>
      <c r="E246" s="1053"/>
      <c r="F246" s="1053"/>
      <c r="G246" s="1053"/>
      <c r="H246" s="1053"/>
      <c r="I246" s="1053"/>
      <c r="J246" s="1053"/>
      <c r="K246" s="1053"/>
      <c r="L246" s="1055"/>
      <c r="M246" s="1054"/>
      <c r="N246" s="1053"/>
      <c r="O246" s="1053"/>
      <c r="P246" s="1094"/>
      <c r="Q246" s="1053"/>
      <c r="R246" s="1053"/>
      <c r="S246" s="1053"/>
      <c r="T246" s="1053"/>
      <c r="U246" s="1053"/>
      <c r="W246" s="1053"/>
      <c r="X246" s="1053"/>
      <c r="Y246" s="1053"/>
      <c r="Z246" s="1053"/>
      <c r="AA246" s="1053"/>
      <c r="AB246" s="1053"/>
      <c r="AC246" s="1053"/>
      <c r="AD246" s="1053"/>
      <c r="AE246" s="1053"/>
      <c r="AF246" s="1053"/>
      <c r="AG246" s="1053"/>
      <c r="AH246" s="1053"/>
      <c r="AI246" s="1053"/>
      <c r="AJ246" s="1053"/>
      <c r="AK246" s="1053"/>
      <c r="AL246" s="1053"/>
      <c r="AM246" s="1053"/>
      <c r="AN246" s="1053"/>
      <c r="AO246" s="1053"/>
      <c r="AP246" s="1053"/>
      <c r="AQ246" s="1053"/>
    </row>
    <row r="247" spans="1:43" s="1052" customFormat="1" ht="11.25" customHeight="1">
      <c r="A247" s="1086"/>
      <c r="B247" s="1247"/>
      <c r="C247" s="1086"/>
      <c r="D247" s="1086"/>
      <c r="E247" s="1053"/>
      <c r="F247" s="1053"/>
      <c r="G247" s="1053"/>
      <c r="H247" s="1053"/>
      <c r="I247" s="1053"/>
      <c r="J247" s="1053"/>
      <c r="K247" s="1053"/>
      <c r="L247" s="1247"/>
      <c r="M247" s="1054"/>
      <c r="N247" s="1053"/>
      <c r="O247" s="1053"/>
      <c r="P247" s="1094"/>
      <c r="Q247" s="1053"/>
      <c r="R247" s="1053"/>
      <c r="S247" s="1053"/>
      <c r="T247" s="1053"/>
      <c r="U247" s="1053"/>
      <c r="W247" s="1053"/>
      <c r="X247" s="1053"/>
      <c r="Y247" s="1053"/>
      <c r="Z247" s="1053"/>
      <c r="AA247" s="1053"/>
      <c r="AB247" s="1053"/>
      <c r="AC247" s="1053"/>
      <c r="AD247" s="1053"/>
      <c r="AE247" s="1053"/>
      <c r="AF247" s="1053"/>
      <c r="AG247" s="1053"/>
      <c r="AH247" s="1053"/>
      <c r="AI247" s="1053"/>
      <c r="AJ247" s="1053"/>
      <c r="AK247" s="1053"/>
      <c r="AL247" s="1053"/>
      <c r="AM247" s="1053"/>
      <c r="AN247" s="1053"/>
      <c r="AO247" s="1053"/>
      <c r="AP247" s="1053"/>
      <c r="AQ247" s="1053"/>
    </row>
    <row r="248" spans="1:43" s="1052" customFormat="1" ht="11.25" customHeight="1">
      <c r="A248" s="1086"/>
      <c r="B248" s="1247"/>
      <c r="C248" s="1086"/>
      <c r="D248" s="1086"/>
      <c r="E248" s="1053"/>
      <c r="F248" s="1053"/>
      <c r="G248" s="1053"/>
      <c r="H248" s="1053"/>
      <c r="I248" s="1053"/>
      <c r="J248" s="1053"/>
      <c r="K248" s="1053"/>
      <c r="L248" s="1247"/>
      <c r="M248" s="1054"/>
      <c r="N248" s="1053"/>
      <c r="O248" s="1053"/>
      <c r="P248" s="1094"/>
      <c r="Q248" s="1053"/>
      <c r="R248" s="1053"/>
      <c r="S248" s="1053"/>
      <c r="T248" s="1053"/>
      <c r="U248" s="1053"/>
      <c r="W248" s="1053"/>
      <c r="X248" s="1053"/>
      <c r="Y248" s="1053"/>
      <c r="Z248" s="1053"/>
      <c r="AA248" s="1053"/>
      <c r="AB248" s="1053"/>
      <c r="AC248" s="1053"/>
      <c r="AD248" s="1053"/>
      <c r="AE248" s="1053"/>
      <c r="AF248" s="1053"/>
      <c r="AG248" s="1053"/>
      <c r="AH248" s="1053"/>
      <c r="AI248" s="1053"/>
      <c r="AJ248" s="1053"/>
      <c r="AK248" s="1053"/>
      <c r="AL248" s="1053"/>
      <c r="AM248" s="1053"/>
      <c r="AN248" s="1053"/>
      <c r="AO248" s="1053"/>
      <c r="AP248" s="1053"/>
      <c r="AQ248" s="1053"/>
    </row>
    <row r="249" spans="1:43" s="1052" customFormat="1" ht="11.25" customHeight="1">
      <c r="A249" s="1086"/>
      <c r="B249" s="1247"/>
      <c r="C249" s="1086"/>
      <c r="D249" s="1086"/>
      <c r="E249" s="1086"/>
      <c r="F249" s="1086"/>
      <c r="G249" s="1086"/>
      <c r="H249" s="1086"/>
      <c r="I249" s="1086"/>
      <c r="J249" s="1086"/>
      <c r="K249" s="1086"/>
      <c r="L249" s="1247"/>
      <c r="M249" s="1054"/>
      <c r="N249" s="1053"/>
      <c r="O249" s="1053"/>
      <c r="P249" s="1094"/>
      <c r="Q249" s="1053"/>
      <c r="R249" s="1053"/>
      <c r="S249" s="1053"/>
      <c r="T249" s="1053"/>
      <c r="U249" s="1053"/>
      <c r="W249" s="1053"/>
      <c r="X249" s="1053"/>
      <c r="Y249" s="1053"/>
      <c r="Z249" s="1053"/>
      <c r="AA249" s="1053"/>
      <c r="AB249" s="1053"/>
      <c r="AC249" s="1053"/>
      <c r="AD249" s="1053"/>
      <c r="AE249" s="1053"/>
      <c r="AF249" s="1053"/>
      <c r="AG249" s="1053"/>
      <c r="AH249" s="1053"/>
      <c r="AI249" s="1053"/>
      <c r="AJ249" s="1053"/>
      <c r="AK249" s="1053"/>
      <c r="AL249" s="1053"/>
      <c r="AM249" s="1053"/>
      <c r="AN249" s="1053"/>
      <c r="AO249" s="1053"/>
      <c r="AP249" s="1053"/>
      <c r="AQ249" s="1053"/>
    </row>
    <row r="250" spans="1:43" s="1052" customFormat="1" ht="11.25" customHeight="1">
      <c r="A250" s="1086"/>
      <c r="C250" s="1086"/>
      <c r="D250" s="1086"/>
      <c r="E250" s="1086"/>
      <c r="F250" s="1086"/>
      <c r="G250" s="1086"/>
      <c r="H250" s="1086"/>
      <c r="I250" s="1086"/>
      <c r="J250" s="1086"/>
      <c r="K250" s="1086"/>
      <c r="L250" s="1086"/>
      <c r="M250" s="1054"/>
      <c r="N250" s="1053"/>
      <c r="O250" s="1053"/>
      <c r="P250" s="1094"/>
      <c r="Q250" s="1053"/>
      <c r="R250" s="1053"/>
      <c r="S250" s="1053"/>
      <c r="T250" s="1053"/>
      <c r="U250" s="1053"/>
      <c r="W250" s="1053"/>
      <c r="X250" s="1053"/>
      <c r="Y250" s="1053"/>
      <c r="Z250" s="1053"/>
      <c r="AA250" s="1053"/>
      <c r="AB250" s="1053"/>
      <c r="AC250" s="1053"/>
      <c r="AD250" s="1053"/>
      <c r="AE250" s="1053"/>
      <c r="AF250" s="1053"/>
      <c r="AG250" s="1053"/>
      <c r="AH250" s="1053"/>
      <c r="AI250" s="1053"/>
      <c r="AJ250" s="1053"/>
      <c r="AK250" s="1053"/>
      <c r="AL250" s="1053"/>
      <c r="AM250" s="1053"/>
      <c r="AN250" s="1053"/>
      <c r="AO250" s="1053"/>
      <c r="AP250" s="1053"/>
      <c r="AQ250" s="1053"/>
    </row>
    <row r="251" spans="1:43" s="1052" customFormat="1" ht="11.25" customHeight="1">
      <c r="A251" s="1086"/>
      <c r="C251" s="1086"/>
      <c r="D251" s="1086"/>
      <c r="E251" s="1086"/>
      <c r="F251" s="1086"/>
      <c r="G251" s="1086"/>
      <c r="H251" s="1086"/>
      <c r="I251" s="1086"/>
      <c r="J251" s="1086"/>
      <c r="K251" s="1086"/>
      <c r="L251" s="1086"/>
      <c r="M251" s="1054"/>
      <c r="N251" s="1053"/>
      <c r="O251" s="1053"/>
      <c r="P251" s="1094"/>
      <c r="Q251" s="1053"/>
      <c r="R251" s="1053"/>
      <c r="S251" s="1053"/>
      <c r="T251" s="1053"/>
      <c r="U251" s="1053"/>
      <c r="W251" s="1053"/>
      <c r="X251" s="1053"/>
      <c r="Y251" s="1053"/>
      <c r="Z251" s="1053"/>
      <c r="AA251" s="1053"/>
      <c r="AB251" s="1053"/>
      <c r="AC251" s="1053"/>
      <c r="AD251" s="1053"/>
      <c r="AE251" s="1053"/>
      <c r="AF251" s="1053"/>
      <c r="AG251" s="1053"/>
      <c r="AH251" s="1053"/>
      <c r="AI251" s="1053"/>
      <c r="AJ251" s="1053"/>
      <c r="AK251" s="1053"/>
      <c r="AL251" s="1053"/>
      <c r="AM251" s="1053"/>
      <c r="AN251" s="1053"/>
      <c r="AO251" s="1053"/>
      <c r="AP251" s="1053"/>
      <c r="AQ251" s="1053"/>
    </row>
    <row r="252" spans="1:43" s="1052" customFormat="1" ht="11.25" customHeight="1">
      <c r="A252" s="1086"/>
      <c r="C252" s="1086"/>
      <c r="D252" s="1086"/>
      <c r="E252" s="1086"/>
      <c r="F252" s="1086"/>
      <c r="G252" s="1086"/>
      <c r="H252" s="1086"/>
      <c r="I252" s="1086"/>
      <c r="J252" s="1086"/>
      <c r="K252" s="1086"/>
      <c r="L252" s="1086"/>
      <c r="M252" s="1054"/>
      <c r="N252" s="1053"/>
      <c r="O252" s="1053"/>
      <c r="P252" s="1094"/>
      <c r="Q252" s="1053"/>
      <c r="R252" s="1053"/>
      <c r="S252" s="1053"/>
      <c r="T252" s="1053"/>
      <c r="U252" s="1053"/>
      <c r="W252" s="1053"/>
      <c r="X252" s="1053"/>
      <c r="Y252" s="1053"/>
      <c r="Z252" s="1053"/>
      <c r="AA252" s="1053"/>
      <c r="AB252" s="1053"/>
      <c r="AC252" s="1053"/>
      <c r="AD252" s="1053"/>
      <c r="AE252" s="1053"/>
      <c r="AF252" s="1053"/>
      <c r="AG252" s="1053"/>
      <c r="AH252" s="1053"/>
      <c r="AI252" s="1053"/>
      <c r="AJ252" s="1053"/>
      <c r="AK252" s="1053"/>
      <c r="AL252" s="1053"/>
      <c r="AM252" s="1053"/>
      <c r="AN252" s="1053"/>
      <c r="AO252" s="1053"/>
      <c r="AP252" s="1053"/>
      <c r="AQ252" s="1053"/>
    </row>
    <row r="253" spans="1:43" s="1052" customFormat="1" ht="11.25" customHeight="1">
      <c r="A253" s="1086"/>
      <c r="C253" s="1086"/>
      <c r="D253" s="1086"/>
      <c r="E253" s="1086"/>
      <c r="F253" s="1086"/>
      <c r="G253" s="1086"/>
      <c r="H253" s="1086"/>
      <c r="I253" s="1086"/>
      <c r="J253" s="1086"/>
      <c r="K253" s="1086"/>
      <c r="L253" s="1086"/>
      <c r="M253" s="1054"/>
      <c r="N253" s="1053"/>
      <c r="O253" s="1053"/>
      <c r="P253" s="1094"/>
      <c r="Q253" s="1053"/>
      <c r="R253" s="1053"/>
      <c r="S253" s="1053"/>
      <c r="T253" s="1053"/>
      <c r="U253" s="1053"/>
      <c r="W253" s="1053"/>
      <c r="X253" s="1053"/>
      <c r="Y253" s="1053"/>
      <c r="Z253" s="1053"/>
      <c r="AA253" s="1053"/>
      <c r="AB253" s="1053"/>
      <c r="AC253" s="1053"/>
      <c r="AD253" s="1053"/>
      <c r="AE253" s="1053"/>
      <c r="AF253" s="1053"/>
      <c r="AG253" s="1053"/>
      <c r="AH253" s="1053"/>
      <c r="AI253" s="1053"/>
      <c r="AJ253" s="1053"/>
      <c r="AK253" s="1053"/>
      <c r="AL253" s="1053"/>
      <c r="AM253" s="1053"/>
      <c r="AN253" s="1053"/>
      <c r="AO253" s="1053"/>
      <c r="AP253" s="1053"/>
      <c r="AQ253" s="1053"/>
    </row>
  </sheetData>
  <mergeCells count="2">
    <mergeCell ref="C159:L159"/>
    <mergeCell ref="C160:L160"/>
  </mergeCells>
  <pageMargins left="0.2" right="0.2" top="0.75" bottom="0.75" header="0.3" footer="0.3"/>
  <pageSetup scale="26"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9D82E-6CA3-46CE-9B90-F0491C74AC6D}">
  <dimension ref="B3:N17"/>
  <sheetViews>
    <sheetView showGridLines="0" workbookViewId="0">
      <selection activeCell="E23" sqref="E23"/>
    </sheetView>
  </sheetViews>
  <sheetFormatPr defaultColWidth="9.54296875" defaultRowHeight="15.5"/>
  <cols>
    <col min="1" max="1" width="9.54296875" style="216"/>
    <col min="2" max="2" width="8.1796875" style="216" customWidth="1"/>
    <col min="3" max="3" width="2.26953125" style="216" customWidth="1"/>
    <col min="4" max="4" width="7.26953125" style="216" customWidth="1"/>
    <col min="5" max="5" width="2.1796875" style="216" customWidth="1"/>
    <col min="6" max="6" width="7.81640625" style="216" customWidth="1"/>
    <col min="7" max="7" width="1.1796875" style="216" customWidth="1"/>
    <col min="8" max="9" width="8.26953125" style="216" customWidth="1"/>
    <col min="10" max="10" width="6.453125" style="216" customWidth="1"/>
    <col min="11" max="11" width="8.1796875" style="216" customWidth="1"/>
    <col min="12" max="13" width="7.54296875" style="216" customWidth="1"/>
    <col min="14" max="14" width="6.54296875" style="216" customWidth="1"/>
    <col min="15" max="15" width="0.54296875" style="216" customWidth="1"/>
    <col min="16" max="16384" width="9.54296875" style="216"/>
  </cols>
  <sheetData>
    <row r="3" spans="2:14">
      <c r="B3" s="280"/>
      <c r="C3" s="280"/>
      <c r="D3" s="1287" t="s">
        <v>455</v>
      </c>
      <c r="E3" s="1287"/>
      <c r="F3" s="1287" t="s">
        <v>1914</v>
      </c>
      <c r="G3" s="1287"/>
      <c r="H3" s="1287" t="s">
        <v>1</v>
      </c>
      <c r="I3" s="1287" t="s">
        <v>74</v>
      </c>
      <c r="J3" s="1287" t="s">
        <v>282</v>
      </c>
      <c r="K3" s="1287" t="s">
        <v>311</v>
      </c>
      <c r="L3" s="1287"/>
      <c r="M3" s="1287"/>
      <c r="N3" s="1287" t="s">
        <v>1915</v>
      </c>
    </row>
    <row r="4" spans="2:14">
      <c r="B4" s="1288" t="s">
        <v>135</v>
      </c>
      <c r="C4" s="1288"/>
      <c r="D4" s="1288" t="s">
        <v>1916</v>
      </c>
      <c r="E4" s="1288"/>
      <c r="F4" s="1288" t="s">
        <v>1917</v>
      </c>
      <c r="G4" s="1288"/>
      <c r="H4" s="1288" t="s">
        <v>278</v>
      </c>
      <c r="I4" s="1288" t="s">
        <v>240</v>
      </c>
      <c r="J4" s="1288" t="s">
        <v>1918</v>
      </c>
      <c r="K4" s="1288" t="s">
        <v>313</v>
      </c>
      <c r="L4" s="1288" t="s">
        <v>264</v>
      </c>
      <c r="M4" s="1288" t="s">
        <v>265</v>
      </c>
      <c r="N4" s="1288" t="s">
        <v>1918</v>
      </c>
    </row>
    <row r="5" spans="2:14">
      <c r="B5" s="1289">
        <v>1</v>
      </c>
      <c r="C5" s="1289"/>
      <c r="D5" s="1290">
        <v>9.52</v>
      </c>
      <c r="E5" s="1290"/>
      <c r="F5" s="1290">
        <v>0</v>
      </c>
      <c r="G5" s="1290"/>
      <c r="H5" s="1291">
        <f>D5+F5</f>
        <v>9.52</v>
      </c>
      <c r="I5" s="1290">
        <v>10</v>
      </c>
      <c r="J5" s="1292">
        <f>I5/H5</f>
        <v>1.0504201680672269</v>
      </c>
      <c r="K5" s="9">
        <v>0.105</v>
      </c>
      <c r="L5" s="1291">
        <f>H5*K5</f>
        <v>0.99959999999999993</v>
      </c>
      <c r="M5" s="1290">
        <v>0.5</v>
      </c>
      <c r="N5" s="1293">
        <f>M5/L5</f>
        <v>0.50020008003201288</v>
      </c>
    </row>
    <row r="6" spans="2:14">
      <c r="B6" s="1289">
        <v>2</v>
      </c>
      <c r="C6" s="1289"/>
      <c r="D6" s="1291">
        <f>D5</f>
        <v>9.52</v>
      </c>
      <c r="E6" s="1291"/>
      <c r="F6" s="1291">
        <f>L5-M5</f>
        <v>0.49959999999999993</v>
      </c>
      <c r="G6" s="1291"/>
      <c r="H6" s="1291">
        <f t="shared" ref="H6" si="0">D6+F6</f>
        <v>10.019599999999999</v>
      </c>
      <c r="I6" s="1291">
        <f>H6*J6</f>
        <v>10.524789915966386</v>
      </c>
      <c r="J6" s="1292">
        <f>J5</f>
        <v>1.0504201680672269</v>
      </c>
      <c r="K6" s="9">
        <f>K5</f>
        <v>0.105</v>
      </c>
      <c r="L6" s="1291">
        <f t="shared" ref="L6" si="1">H6*K6</f>
        <v>1.0520579999999999</v>
      </c>
      <c r="M6" s="1290">
        <f>L6*N5</f>
        <v>0.52623949579831941</v>
      </c>
      <c r="N6" s="1293">
        <f t="shared" ref="N6:N7" si="2">M6/L6</f>
        <v>0.50020008003201288</v>
      </c>
    </row>
    <row r="7" spans="2:14" ht="17">
      <c r="B7" s="1289">
        <v>3</v>
      </c>
      <c r="C7" s="1289"/>
      <c r="D7" s="1291">
        <f>D6</f>
        <v>9.52</v>
      </c>
      <c r="E7" s="1291"/>
      <c r="F7" s="1291">
        <f>L6-M6</f>
        <v>0.52581850420168053</v>
      </c>
      <c r="G7" s="1291"/>
      <c r="H7" s="1294">
        <f>H6+F7</f>
        <v>10.545418504201679</v>
      </c>
      <c r="I7" s="1294">
        <f>H7*J7</f>
        <v>11.077120277522774</v>
      </c>
      <c r="J7" s="1292">
        <f>J6</f>
        <v>1.0504201680672269</v>
      </c>
      <c r="K7" s="9">
        <f>K6</f>
        <v>0.105</v>
      </c>
      <c r="L7" s="1294">
        <f>H7*K7</f>
        <v>1.1072689429411762</v>
      </c>
      <c r="M7" s="1295">
        <f>L7*N6</f>
        <v>0.55385601387613859</v>
      </c>
      <c r="N7" s="1293">
        <f t="shared" si="2"/>
        <v>0.50020008003201288</v>
      </c>
    </row>
    <row r="8" spans="2:14">
      <c r="B8" s="1287" t="s">
        <v>250</v>
      </c>
      <c r="C8" s="1287"/>
      <c r="D8" s="280"/>
      <c r="E8" s="280"/>
      <c r="F8" s="280"/>
      <c r="G8" s="280"/>
      <c r="H8" s="1296">
        <f>(H7/H5)^(1/2)-1</f>
        <v>5.2478991596638602E-2</v>
      </c>
      <c r="I8" s="1296">
        <f>(I7/I5)^(1/2)-1</f>
        <v>5.2478991596638602E-2</v>
      </c>
      <c r="J8" s="1296"/>
      <c r="K8" s="1296"/>
      <c r="L8" s="1296">
        <f>(L7/L5)^(1/2)-1</f>
        <v>5.2478991596638602E-2</v>
      </c>
      <c r="M8" s="1296">
        <f>(M7/M5)^(1/2)-1</f>
        <v>5.2478991596638602E-2</v>
      </c>
    </row>
    <row r="12" spans="2:14">
      <c r="B12" s="280"/>
      <c r="C12" s="280"/>
      <c r="D12" s="1287" t="s">
        <v>455</v>
      </c>
      <c r="E12" s="1287"/>
      <c r="F12" s="1287" t="s">
        <v>1914</v>
      </c>
      <c r="G12" s="1287"/>
      <c r="H12" s="1287" t="s">
        <v>1</v>
      </c>
      <c r="I12" s="1287" t="s">
        <v>74</v>
      </c>
      <c r="J12" s="1287" t="s">
        <v>282</v>
      </c>
      <c r="K12" s="1287" t="s">
        <v>311</v>
      </c>
      <c r="L12" s="1287"/>
      <c r="M12" s="1287"/>
      <c r="N12" s="1287" t="s">
        <v>1915</v>
      </c>
    </row>
    <row r="13" spans="2:14">
      <c r="B13" s="1288" t="s">
        <v>135</v>
      </c>
      <c r="C13" s="1288"/>
      <c r="D13" s="1288" t="s">
        <v>1916</v>
      </c>
      <c r="E13" s="1288"/>
      <c r="F13" s="1288" t="s">
        <v>1917</v>
      </c>
      <c r="G13" s="1288"/>
      <c r="H13" s="1288" t="s">
        <v>278</v>
      </c>
      <c r="I13" s="1288" t="s">
        <v>240</v>
      </c>
      <c r="J13" s="1288" t="s">
        <v>1918</v>
      </c>
      <c r="K13" s="1288" t="s">
        <v>313</v>
      </c>
      <c r="L13" s="1288" t="s">
        <v>264</v>
      </c>
      <c r="M13" s="1288" t="s">
        <v>265</v>
      </c>
      <c r="N13" s="1288" t="s">
        <v>1918</v>
      </c>
    </row>
    <row r="14" spans="2:14">
      <c r="B14" s="1289">
        <v>1</v>
      </c>
      <c r="C14" s="1289"/>
      <c r="D14" s="1290">
        <v>9.52</v>
      </c>
      <c r="E14" s="1290"/>
      <c r="F14" s="1290">
        <v>0</v>
      </c>
      <c r="G14" s="1290"/>
      <c r="H14" s="1291">
        <f>D14+F14</f>
        <v>9.52</v>
      </c>
      <c r="I14" s="1290">
        <v>10</v>
      </c>
      <c r="J14" s="1292">
        <f>I14/H14</f>
        <v>1.0504201680672269</v>
      </c>
      <c r="K14" s="9">
        <v>0.1075</v>
      </c>
      <c r="L14" s="1291">
        <f>H14*K14</f>
        <v>1.0233999999999999</v>
      </c>
      <c r="M14" s="1290">
        <v>0.5</v>
      </c>
      <c r="N14" s="1293">
        <f>M14/L14</f>
        <v>0.48856752003126841</v>
      </c>
    </row>
    <row r="15" spans="2:14">
      <c r="B15" s="1289">
        <v>2</v>
      </c>
      <c r="C15" s="1289"/>
      <c r="D15" s="1291">
        <f>D14</f>
        <v>9.52</v>
      </c>
      <c r="E15" s="1291"/>
      <c r="F15" s="1291">
        <f>L14-M14</f>
        <v>0.52339999999999987</v>
      </c>
      <c r="G15" s="1291"/>
      <c r="H15" s="1291">
        <f t="shared" ref="H15" si="3">D15+F15</f>
        <v>10.0434</v>
      </c>
      <c r="I15" s="1291">
        <f>H15*J15</f>
        <v>10.549789915966388</v>
      </c>
      <c r="J15" s="1292">
        <f>J14</f>
        <v>1.0504201680672269</v>
      </c>
      <c r="K15" s="9">
        <f>K14</f>
        <v>0.1075</v>
      </c>
      <c r="L15" s="1291">
        <f t="shared" ref="L15" si="4">H15*K15</f>
        <v>1.0796654999999999</v>
      </c>
      <c r="M15" s="1290">
        <f>L15*N14</f>
        <v>0.52748949579831939</v>
      </c>
      <c r="N15" s="1293">
        <f t="shared" ref="N15:N16" si="5">M15/L15</f>
        <v>0.48856752003126841</v>
      </c>
    </row>
    <row r="16" spans="2:14" ht="17">
      <c r="B16" s="1289">
        <v>3</v>
      </c>
      <c r="C16" s="1289"/>
      <c r="D16" s="1291">
        <f>D15</f>
        <v>9.52</v>
      </c>
      <c r="E16" s="1291"/>
      <c r="F16" s="1291">
        <f>L15-M15</f>
        <v>0.55217600420168056</v>
      </c>
      <c r="G16" s="1291"/>
      <c r="H16" s="1294">
        <f>H15+F16</f>
        <v>10.59557600420168</v>
      </c>
      <c r="I16" s="1294">
        <f>H16*J16</f>
        <v>11.129806727102606</v>
      </c>
      <c r="J16" s="1292">
        <f>J15</f>
        <v>1.0504201680672269</v>
      </c>
      <c r="K16" s="9">
        <f>K15</f>
        <v>0.1075</v>
      </c>
      <c r="L16" s="1294">
        <f>H16*K16</f>
        <v>1.1390244204516806</v>
      </c>
      <c r="M16" s="1295">
        <f>L16*N15</f>
        <v>0.55649033635513034</v>
      </c>
      <c r="N16" s="1293">
        <f t="shared" si="5"/>
        <v>0.48856752003126841</v>
      </c>
    </row>
    <row r="17" spans="2:13">
      <c r="B17" s="1287" t="s">
        <v>250</v>
      </c>
      <c r="C17" s="1287"/>
      <c r="D17" s="280"/>
      <c r="E17" s="280"/>
      <c r="F17" s="280"/>
      <c r="G17" s="280"/>
      <c r="H17" s="1296">
        <f>(H16/H14)^(1/2)-1</f>
        <v>5.4978991596638771E-2</v>
      </c>
      <c r="I17" s="1296">
        <f>(I16/I14)^(1/2)-1</f>
        <v>5.4978991596638771E-2</v>
      </c>
      <c r="J17" s="1296"/>
      <c r="K17" s="1296"/>
      <c r="L17" s="1296">
        <f>(L16/L14)^(1/2)-1</f>
        <v>5.4978991596638771E-2</v>
      </c>
      <c r="M17" s="1296">
        <f>(M16/M14)^(1/2)-1</f>
        <v>5.4978991596638771E-2</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1">
    <pageSetUpPr fitToPage="1"/>
  </sheetPr>
  <dimension ref="A1:W99"/>
  <sheetViews>
    <sheetView zoomScaleNormal="100" zoomScaleSheetLayoutView="100" workbookViewId="0">
      <pane ySplit="7" topLeftCell="A8" activePane="bottomLeft" state="frozen"/>
      <selection activeCell="G1" sqref="G1:I1"/>
      <selection pane="bottomLeft" activeCell="A2" sqref="A2"/>
    </sheetView>
  </sheetViews>
  <sheetFormatPr defaultColWidth="10.26953125" defaultRowHeight="15.5"/>
  <cols>
    <col min="1" max="1" width="4.26953125" style="36" customWidth="1"/>
    <col min="2" max="2" width="8.453125" style="36" customWidth="1"/>
    <col min="3" max="3" width="6.7265625" style="32" customWidth="1"/>
    <col min="4" max="4" width="23" style="32" customWidth="1"/>
    <col min="5" max="5" width="2.453125" style="34" customWidth="1"/>
    <col min="6" max="7" width="7.54296875" style="32" customWidth="1"/>
    <col min="8" max="8" width="1.54296875" style="35" customWidth="1"/>
    <col min="9" max="9" width="7.7265625" style="32" customWidth="1"/>
    <col min="10" max="10" width="7.453125" style="34" customWidth="1"/>
    <col min="11" max="11" width="1.54296875" style="35" customWidth="1"/>
    <col min="12" max="12" width="8.26953125" style="40" customWidth="1"/>
    <col min="13" max="13" width="1.7265625" style="35" customWidth="1"/>
    <col min="14" max="14" width="8.7265625" style="35" customWidth="1"/>
    <col min="15" max="15" width="4.81640625" style="35" customWidth="1"/>
    <col min="16" max="16" width="7.453125" style="36" customWidth="1"/>
    <col min="17" max="17" width="1.54296875" style="36" customWidth="1"/>
    <col min="18" max="18" width="9.26953125" style="36" customWidth="1"/>
    <col min="19" max="19" width="1.54296875" style="36" hidden="1" customWidth="1"/>
    <col min="20" max="20" width="9.26953125" style="36" hidden="1" customWidth="1"/>
    <col min="21" max="21" width="1.54296875" style="36" customWidth="1"/>
    <col min="22" max="22" width="14" style="37" customWidth="1"/>
    <col min="23" max="23" width="62.26953125" style="38" customWidth="1"/>
    <col min="24" max="16384" width="10.26953125" style="32"/>
  </cols>
  <sheetData>
    <row r="1" spans="1:23">
      <c r="A1" s="30" t="s">
        <v>1991</v>
      </c>
      <c r="B1" s="30"/>
      <c r="C1" s="31"/>
      <c r="E1" s="33"/>
    </row>
    <row r="2" spans="1:23">
      <c r="B2" s="92"/>
      <c r="C2" s="30"/>
      <c r="D2" s="30"/>
      <c r="E2" s="33"/>
    </row>
    <row r="3" spans="1:23">
      <c r="A3" s="39"/>
      <c r="B3" s="39"/>
      <c r="C3" s="30"/>
      <c r="D3" s="30"/>
      <c r="E3" s="33"/>
      <c r="W3" s="119"/>
    </row>
    <row r="4" spans="1:23">
      <c r="C4" s="30"/>
      <c r="D4" s="30"/>
      <c r="E4" s="33"/>
      <c r="F4" s="34" t="s">
        <v>22</v>
      </c>
      <c r="G4" s="34"/>
      <c r="H4" s="40"/>
      <c r="I4" s="34" t="s">
        <v>21</v>
      </c>
      <c r="K4" s="40"/>
      <c r="L4" s="1433" t="s">
        <v>23</v>
      </c>
      <c r="M4" s="1433"/>
      <c r="N4" s="1433"/>
      <c r="O4" s="1433"/>
      <c r="P4" s="1433"/>
      <c r="Q4" s="41"/>
      <c r="R4" s="176" t="s">
        <v>23</v>
      </c>
      <c r="S4" s="176"/>
      <c r="T4" s="176"/>
      <c r="U4" s="176"/>
      <c r="V4" s="42"/>
      <c r="W4" s="108"/>
    </row>
    <row r="5" spans="1:23" ht="21" customHeight="1">
      <c r="A5" s="31"/>
      <c r="B5" s="31"/>
      <c r="F5" s="33" t="s">
        <v>63</v>
      </c>
      <c r="G5" s="33"/>
      <c r="H5" s="43"/>
      <c r="I5" s="33" t="s">
        <v>64</v>
      </c>
      <c r="J5" s="33"/>
      <c r="K5" s="43"/>
      <c r="L5" s="1434" t="s">
        <v>60</v>
      </c>
      <c r="M5" s="1434"/>
      <c r="N5" s="1434"/>
      <c r="O5" s="1434"/>
      <c r="P5" s="1434"/>
      <c r="Q5" s="44"/>
      <c r="R5" s="44"/>
      <c r="S5" s="44"/>
      <c r="T5" s="44"/>
      <c r="U5" s="44"/>
      <c r="V5" s="42" t="s">
        <v>70</v>
      </c>
    </row>
    <row r="6" spans="1:23">
      <c r="D6" s="32" t="s">
        <v>71</v>
      </c>
      <c r="F6" s="33" t="s">
        <v>72</v>
      </c>
      <c r="G6" s="33"/>
      <c r="H6" s="40"/>
      <c r="I6" s="33" t="s">
        <v>73</v>
      </c>
      <c r="J6" s="33"/>
      <c r="K6" s="40"/>
      <c r="L6" s="33" t="s">
        <v>61</v>
      </c>
      <c r="M6" s="40"/>
      <c r="N6" s="45" t="s">
        <v>62</v>
      </c>
      <c r="O6" s="45"/>
      <c r="P6" s="33"/>
      <c r="Q6" s="33"/>
      <c r="R6" s="33" t="s">
        <v>74</v>
      </c>
      <c r="S6" s="33"/>
      <c r="T6" s="70" t="s">
        <v>0</v>
      </c>
      <c r="U6" s="33"/>
      <c r="V6" s="42" t="s">
        <v>75</v>
      </c>
    </row>
    <row r="7" spans="1:23">
      <c r="A7" s="31"/>
      <c r="B7" s="31" t="s">
        <v>76</v>
      </c>
      <c r="C7" s="46" t="s">
        <v>77</v>
      </c>
      <c r="D7" s="46" t="s">
        <v>78</v>
      </c>
      <c r="E7" s="33"/>
      <c r="F7" s="47" t="s">
        <v>79</v>
      </c>
      <c r="G7" s="33"/>
      <c r="H7" s="45"/>
      <c r="I7" s="47" t="s">
        <v>80</v>
      </c>
      <c r="J7" s="33"/>
      <c r="K7" s="45"/>
      <c r="L7" s="47" t="s">
        <v>65</v>
      </c>
      <c r="M7" s="45"/>
      <c r="N7" s="73" t="s">
        <v>66</v>
      </c>
      <c r="O7" s="45"/>
      <c r="P7" s="47" t="s">
        <v>67</v>
      </c>
      <c r="Q7" s="33"/>
      <c r="R7" s="47" t="s">
        <v>81</v>
      </c>
      <c r="S7" s="33"/>
      <c r="T7" s="71" t="s">
        <v>82</v>
      </c>
      <c r="U7" s="33"/>
      <c r="V7" s="42" t="s">
        <v>83</v>
      </c>
      <c r="W7" s="48" t="s">
        <v>84</v>
      </c>
    </row>
    <row r="8" spans="1:23" ht="46.5">
      <c r="A8" s="49">
        <f>A7+1</f>
        <v>1</v>
      </c>
      <c r="B8" s="96" t="str">
        <f t="shared" ref="B8:B43" si="0">IF(AND(AND(J8&lt;=$J$53,J8&gt;=$J$54),AND(G8&lt;=$G$53,G8&gt;=$G$54),L8&lt;=$L$53,AND(L8&gt;=$L$54),AND(O8&lt;=$O$53,O8&gt;=$O$54),V8&lt;&gt;"X"),"Y",IF(V8="Y","Y",""))</f>
        <v/>
      </c>
      <c r="C8" s="36" t="str">
        <f>'Electric Utility Data'!B8</f>
        <v>ALE</v>
      </c>
      <c r="D8" s="36" t="str">
        <f>'Electric Utility Data'!C8</f>
        <v>ALLETE</v>
      </c>
      <c r="F8" s="50" t="str">
        <f>'Electric Utility Data'!AB8</f>
        <v>Baa1</v>
      </c>
      <c r="G8" s="12">
        <f>VLOOKUP(F8,'Ordinal Ratings'!I$6:J$25,2,FALSE)</f>
        <v>8</v>
      </c>
      <c r="H8" s="36"/>
      <c r="I8" s="50" t="str">
        <f>'Electric Utility Data'!AA8</f>
        <v>BBB</v>
      </c>
      <c r="J8" s="154">
        <f>VLOOKUP(I8,'Ordinal Ratings'!$A$6:$B$28,2,FALSE)</f>
        <v>9</v>
      </c>
      <c r="K8" s="36"/>
      <c r="L8" s="34">
        <f>'Electric Utility Data'!W8</f>
        <v>1</v>
      </c>
      <c r="M8" s="74"/>
      <c r="N8" s="34" t="str">
        <f>'Electric Utility Data'!Y8</f>
        <v>A+</v>
      </c>
      <c r="O8" s="36"/>
      <c r="P8" s="51">
        <f>'Electric Utility Data'!X8</f>
        <v>0.8</v>
      </c>
      <c r="Q8" s="51"/>
      <c r="R8" s="52">
        <f>'Electric Utility Data'!AC8</f>
        <v>3700</v>
      </c>
      <c r="S8" s="52"/>
      <c r="T8" s="69" t="s">
        <v>85</v>
      </c>
      <c r="U8" s="52"/>
      <c r="V8" s="94" t="s">
        <v>86</v>
      </c>
      <c r="W8" s="184" t="s">
        <v>1374</v>
      </c>
    </row>
    <row r="9" spans="1:23" ht="17">
      <c r="A9" s="49">
        <f t="shared" ref="A9:A43" si="1">A8+1</f>
        <v>2</v>
      </c>
      <c r="B9" s="96" t="str">
        <f t="shared" si="0"/>
        <v>Y</v>
      </c>
      <c r="C9" s="36" t="str">
        <f>'Electric Utility Data'!B9</f>
        <v>LNT</v>
      </c>
      <c r="D9" s="36" t="str">
        <f>'Electric Utility Data'!C9</f>
        <v>Alliant Energy</v>
      </c>
      <c r="F9" s="50" t="str">
        <f>'Electric Utility Data'!AB9</f>
        <v>Baa2</v>
      </c>
      <c r="G9" s="12">
        <f>VLOOKUP(F9,'Ordinal Ratings'!I$6:J$25,2,FALSE)</f>
        <v>9</v>
      </c>
      <c r="H9" s="36"/>
      <c r="I9" s="50" t="str">
        <f>'Electric Utility Data'!AA9</f>
        <v>BBB+</v>
      </c>
      <c r="J9" s="12">
        <f>VLOOKUP(I9,'Ordinal Ratings'!$A$6:$B$28,2,FALSE)</f>
        <v>8</v>
      </c>
      <c r="K9" s="36"/>
      <c r="L9" s="34">
        <f>'Electric Utility Data'!W9</f>
        <v>1</v>
      </c>
      <c r="M9" s="74"/>
      <c r="N9" s="34" t="str">
        <f>'Electric Utility Data'!Y9</f>
        <v>A+</v>
      </c>
      <c r="O9" s="36"/>
      <c r="P9" s="51">
        <f>'Electric Utility Data'!X9</f>
        <v>0.8</v>
      </c>
      <c r="Q9" s="51"/>
      <c r="R9" s="52">
        <f>'Electric Utility Data'!AC9</f>
        <v>16300</v>
      </c>
      <c r="S9" s="52"/>
      <c r="T9" s="69" t="s">
        <v>85</v>
      </c>
      <c r="U9" s="52"/>
      <c r="W9" s="54"/>
    </row>
    <row r="10" spans="1:23" ht="17">
      <c r="A10" s="49">
        <f t="shared" si="1"/>
        <v>3</v>
      </c>
      <c r="B10" s="96" t="str">
        <f t="shared" si="0"/>
        <v/>
      </c>
      <c r="C10" s="36" t="str">
        <f>'Electric Utility Data'!B10</f>
        <v>AEE</v>
      </c>
      <c r="D10" s="36" t="str">
        <f>'Electric Utility Data'!C10</f>
        <v>Ameren Corp.</v>
      </c>
      <c r="F10" s="50" t="str">
        <f>'Electric Utility Data'!AB10</f>
        <v>Baa1</v>
      </c>
      <c r="G10" s="12">
        <f>VLOOKUP(F10,'Ordinal Ratings'!I$6:J$25,2,FALSE)</f>
        <v>8</v>
      </c>
      <c r="H10" s="36"/>
      <c r="I10" s="50" t="str">
        <f>'Electric Utility Data'!AA10</f>
        <v>BBB+</v>
      </c>
      <c r="J10" s="12">
        <f>VLOOKUP(I10,'Ordinal Ratings'!$A$6:$B$28,2,FALSE)</f>
        <v>8</v>
      </c>
      <c r="K10" s="36"/>
      <c r="L10" s="34">
        <f>'Electric Utility Data'!W10</f>
        <v>1</v>
      </c>
      <c r="M10" s="74"/>
      <c r="N10" s="34" t="str">
        <f>'Electric Utility Data'!Y10</f>
        <v>A+</v>
      </c>
      <c r="O10" s="36"/>
      <c r="P10" s="51">
        <f>'Electric Utility Data'!X10</f>
        <v>0.8</v>
      </c>
      <c r="Q10" s="51"/>
      <c r="R10" s="52">
        <f>'Electric Utility Data'!AC10</f>
        <v>22000</v>
      </c>
      <c r="S10" s="52"/>
      <c r="T10" s="69" t="s">
        <v>85</v>
      </c>
      <c r="U10" s="52"/>
      <c r="W10" s="54"/>
    </row>
    <row r="11" spans="1:23" ht="17">
      <c r="A11" s="49">
        <f t="shared" si="1"/>
        <v>4</v>
      </c>
      <c r="B11" s="96" t="str">
        <f t="shared" si="0"/>
        <v>Y</v>
      </c>
      <c r="C11" s="36" t="str">
        <f>'Electric Utility Data'!B11</f>
        <v>AEP</v>
      </c>
      <c r="D11" s="36" t="str">
        <f>'Electric Utility Data'!C11</f>
        <v>American Elec Pwr</v>
      </c>
      <c r="F11" s="50" t="str">
        <f>'Electric Utility Data'!AB11</f>
        <v>Baa2</v>
      </c>
      <c r="G11" s="12">
        <f>VLOOKUP(F11,'Ordinal Ratings'!I$6:J$25,2,FALSE)</f>
        <v>9</v>
      </c>
      <c r="H11" s="36"/>
      <c r="I11" s="50" t="str">
        <f>'Electric Utility Data'!AA11</f>
        <v>BBB+</v>
      </c>
      <c r="J11" s="12">
        <f>VLOOKUP(I11,'Ordinal Ratings'!$A$6:$B$28,2,FALSE)</f>
        <v>8</v>
      </c>
      <c r="K11" s="36"/>
      <c r="L11" s="34">
        <f>'Electric Utility Data'!W11</f>
        <v>1</v>
      </c>
      <c r="M11" s="74"/>
      <c r="N11" s="34" t="str">
        <f>'Electric Utility Data'!Y11</f>
        <v>A</v>
      </c>
      <c r="O11" s="36"/>
      <c r="P11" s="51">
        <f>'Electric Utility Data'!X11</f>
        <v>0.7</v>
      </c>
      <c r="Q11" s="51"/>
      <c r="R11" s="52">
        <f>'Electric Utility Data'!AC11</f>
        <v>52700</v>
      </c>
      <c r="S11" s="52"/>
      <c r="T11" s="69" t="s">
        <v>85</v>
      </c>
      <c r="U11" s="52"/>
      <c r="W11" s="54"/>
    </row>
    <row r="12" spans="1:23" ht="17">
      <c r="A12" s="49">
        <f t="shared" si="1"/>
        <v>5</v>
      </c>
      <c r="B12" s="96" t="str">
        <f t="shared" si="0"/>
        <v>Y</v>
      </c>
      <c r="C12" s="36" t="str">
        <f>'Electric Utility Data'!B12</f>
        <v>AVA</v>
      </c>
      <c r="D12" s="36" t="str">
        <f>'Electric Utility Data'!C12</f>
        <v>Avista Corp.</v>
      </c>
      <c r="F12" s="50" t="str">
        <f>'Electric Utility Data'!AB12</f>
        <v>Baa2</v>
      </c>
      <c r="G12" s="12">
        <f>VLOOKUP(F12,'Ordinal Ratings'!I$6:J$25,2,FALSE)</f>
        <v>9</v>
      </c>
      <c r="H12" s="36"/>
      <c r="I12" s="50" t="str">
        <f>'Electric Utility Data'!AA12</f>
        <v>BBB</v>
      </c>
      <c r="J12" s="12">
        <f>VLOOKUP(I12,'Ordinal Ratings'!$A$6:$B$28,2,FALSE)</f>
        <v>9</v>
      </c>
      <c r="K12" s="36"/>
      <c r="L12" s="34">
        <f>'Electric Utility Data'!W12</f>
        <v>3</v>
      </c>
      <c r="M12" s="74"/>
      <c r="N12" s="34" t="str">
        <f>'Electric Utility Data'!Y12</f>
        <v>A</v>
      </c>
      <c r="O12" s="36"/>
      <c r="P12" s="51">
        <f>'Electric Utility Data'!X12</f>
        <v>0.75</v>
      </c>
      <c r="Q12" s="51"/>
      <c r="R12" s="52">
        <f>'Electric Utility Data'!AC12</f>
        <v>3100</v>
      </c>
      <c r="S12" s="52"/>
      <c r="T12" s="72" t="s">
        <v>87</v>
      </c>
      <c r="U12" s="52"/>
      <c r="W12" s="54"/>
    </row>
    <row r="13" spans="1:23" ht="17">
      <c r="A13" s="49">
        <f t="shared" si="1"/>
        <v>6</v>
      </c>
      <c r="B13" s="96" t="str">
        <f t="shared" si="0"/>
        <v>Y</v>
      </c>
      <c r="C13" s="36" t="str">
        <f>'Electric Utility Data'!B13</f>
        <v>BKH</v>
      </c>
      <c r="D13" s="36" t="str">
        <f>'Electric Utility Data'!C13</f>
        <v>Black Hills Corp.</v>
      </c>
      <c r="F13" s="50" t="str">
        <f>'Electric Utility Data'!AB13</f>
        <v>Baa2</v>
      </c>
      <c r="G13" s="12">
        <f>VLOOKUP(F13,'Ordinal Ratings'!I$6:J$25,2,FALSE)</f>
        <v>9</v>
      </c>
      <c r="H13" s="36"/>
      <c r="I13" s="50" t="str">
        <f>'Electric Utility Data'!AA13</f>
        <v>BBB+</v>
      </c>
      <c r="J13" s="12">
        <f>VLOOKUP(I13,'Ordinal Ratings'!$A$6:$B$28,2,FALSE)</f>
        <v>8</v>
      </c>
      <c r="K13" s="36"/>
      <c r="L13" s="34">
        <f>'Electric Utility Data'!W13</f>
        <v>2</v>
      </c>
      <c r="M13" s="74"/>
      <c r="N13" s="34" t="str">
        <f>'Electric Utility Data'!Y13</f>
        <v>A</v>
      </c>
      <c r="O13" s="36"/>
      <c r="P13" s="51">
        <f>'Electric Utility Data'!X13</f>
        <v>0.9</v>
      </c>
      <c r="Q13" s="51"/>
      <c r="R13" s="52">
        <f>'Electric Utility Data'!AC13</f>
        <v>4100</v>
      </c>
      <c r="S13" s="52"/>
      <c r="T13" s="69" t="s">
        <v>85</v>
      </c>
      <c r="U13" s="52"/>
      <c r="V13" s="94"/>
      <c r="W13" s="54"/>
    </row>
    <row r="14" spans="1:23" ht="17">
      <c r="A14" s="49">
        <f t="shared" si="1"/>
        <v>7</v>
      </c>
      <c r="B14" s="96" t="str">
        <f t="shared" si="0"/>
        <v>Y</v>
      </c>
      <c r="C14" s="36" t="str">
        <f>'Electric Utility Data'!B14</f>
        <v>CNP</v>
      </c>
      <c r="D14" s="36" t="str">
        <f>'Electric Utility Data'!C14</f>
        <v>CenterPoint Energy</v>
      </c>
      <c r="F14" s="50" t="str">
        <f>'Electric Utility Data'!AB14</f>
        <v>Baa2</v>
      </c>
      <c r="G14" s="12">
        <f>VLOOKUP(F14,'Ordinal Ratings'!I$6:J$25,2,FALSE)</f>
        <v>9</v>
      </c>
      <c r="H14" s="36"/>
      <c r="I14" s="50" t="str">
        <f>'Electric Utility Data'!AA14</f>
        <v>BBB+</v>
      </c>
      <c r="J14" s="12">
        <f>VLOOKUP(I14,'Ordinal Ratings'!$A$6:$B$28,2,FALSE)</f>
        <v>8</v>
      </c>
      <c r="K14" s="36"/>
      <c r="L14" s="34">
        <f>'Electric Utility Data'!W14</f>
        <v>3</v>
      </c>
      <c r="M14" s="74"/>
      <c r="N14" s="34" t="str">
        <f>'Electric Utility Data'!Y14</f>
        <v>A</v>
      </c>
      <c r="O14" s="36"/>
      <c r="P14" s="51">
        <f>'Electric Utility Data'!X14</f>
        <v>0.85</v>
      </c>
      <c r="Q14" s="51"/>
      <c r="R14" s="52">
        <f>'Electric Utility Data'!AC14</f>
        <v>21200</v>
      </c>
      <c r="S14" s="52"/>
      <c r="T14" s="69" t="s">
        <v>85</v>
      </c>
      <c r="U14" s="52"/>
      <c r="W14" s="54"/>
    </row>
    <row r="15" spans="1:23" ht="17">
      <c r="A15" s="49">
        <f t="shared" si="1"/>
        <v>8</v>
      </c>
      <c r="B15" s="96" t="str">
        <f t="shared" si="0"/>
        <v>Y</v>
      </c>
      <c r="C15" s="36" t="str">
        <f>'Electric Utility Data'!B15</f>
        <v>CMS</v>
      </c>
      <c r="D15" s="36" t="str">
        <f>'Electric Utility Data'!C15</f>
        <v>CMS Energy Corp.</v>
      </c>
      <c r="F15" s="50" t="str">
        <f>'Electric Utility Data'!AB15</f>
        <v>Baa2</v>
      </c>
      <c r="G15" s="12">
        <f>VLOOKUP(F15,'Ordinal Ratings'!I$6:J$25,2,FALSE)</f>
        <v>9</v>
      </c>
      <c r="H15" s="36"/>
      <c r="I15" s="50" t="str">
        <f>'Electric Utility Data'!AA15</f>
        <v>BBB+</v>
      </c>
      <c r="J15" s="12">
        <f>VLOOKUP(I15,'Ordinal Ratings'!$A$6:$B$28,2,FALSE)</f>
        <v>8</v>
      </c>
      <c r="K15" s="36"/>
      <c r="L15" s="34">
        <f>'Electric Utility Data'!W15</f>
        <v>2</v>
      </c>
      <c r="M15" s="74"/>
      <c r="N15" s="34" t="str">
        <f>'Electric Utility Data'!Y15</f>
        <v>B++</v>
      </c>
      <c r="O15" s="36"/>
      <c r="P15" s="51">
        <f>'Electric Utility Data'!X15</f>
        <v>0.7</v>
      </c>
      <c r="Q15" s="51"/>
      <c r="R15" s="52">
        <f>'Electric Utility Data'!AC15</f>
        <v>20800</v>
      </c>
      <c r="S15" s="52"/>
      <c r="T15" s="69" t="s">
        <v>85</v>
      </c>
      <c r="U15" s="52"/>
      <c r="W15" s="54"/>
    </row>
    <row r="16" spans="1:23" ht="17">
      <c r="A16" s="49">
        <f t="shared" si="1"/>
        <v>9</v>
      </c>
      <c r="B16" s="96" t="str">
        <f t="shared" si="0"/>
        <v/>
      </c>
      <c r="C16" s="36" t="str">
        <f>'Electric Utility Data'!B16</f>
        <v>ED</v>
      </c>
      <c r="D16" s="36" t="str">
        <f>'Electric Utility Data'!C16</f>
        <v>Consolidated Edison</v>
      </c>
      <c r="F16" s="50" t="str">
        <f>'Electric Utility Data'!AB16</f>
        <v>Baa1</v>
      </c>
      <c r="G16" s="12">
        <f>VLOOKUP(F16,'Ordinal Ratings'!I$6:J$25,2,FALSE)</f>
        <v>8</v>
      </c>
      <c r="H16" s="36"/>
      <c r="I16" s="50" t="str">
        <f>'Electric Utility Data'!AA16</f>
        <v>A-</v>
      </c>
      <c r="J16" s="12">
        <f>VLOOKUP(I16,'Ordinal Ratings'!$A$6:$B$28,2,FALSE)</f>
        <v>7</v>
      </c>
      <c r="K16" s="36"/>
      <c r="L16" s="34">
        <f>'Electric Utility Data'!W16</f>
        <v>1</v>
      </c>
      <c r="M16" s="74"/>
      <c r="N16" s="34" t="str">
        <f>'Electric Utility Data'!Y16</f>
        <v>A+</v>
      </c>
      <c r="O16" s="36"/>
      <c r="P16" s="51">
        <f>'Electric Utility Data'!X16</f>
        <v>0.65</v>
      </c>
      <c r="Q16" s="51"/>
      <c r="R16" s="52">
        <f>'Electric Utility Data'!AC16</f>
        <v>36300</v>
      </c>
      <c r="S16" s="52"/>
      <c r="T16" s="69" t="s">
        <v>85</v>
      </c>
      <c r="U16" s="52"/>
      <c r="W16" s="54"/>
    </row>
    <row r="17" spans="1:23" ht="17">
      <c r="A17" s="49">
        <f t="shared" si="1"/>
        <v>10</v>
      </c>
      <c r="B17" s="96" t="str">
        <f t="shared" si="0"/>
        <v>Y</v>
      </c>
      <c r="C17" s="36" t="str">
        <f>'Electric Utility Data'!B17</f>
        <v>D</v>
      </c>
      <c r="D17" s="36" t="str">
        <f>'Electric Utility Data'!C17</f>
        <v>Dominion Energy</v>
      </c>
      <c r="F17" s="50" t="str">
        <f>'Electric Utility Data'!AB17</f>
        <v>Baa2</v>
      </c>
      <c r="G17" s="12">
        <f>VLOOKUP(F17,'Ordinal Ratings'!I$6:J$25,2,FALSE)</f>
        <v>9</v>
      </c>
      <c r="H17" s="36"/>
      <c r="I17" s="50" t="str">
        <f>'Electric Utility Data'!AA17</f>
        <v>BBB+</v>
      </c>
      <c r="J17" s="12">
        <f>VLOOKUP(I17,'Ordinal Ratings'!$A$6:$B$28,2,FALSE)</f>
        <v>8</v>
      </c>
      <c r="K17" s="36"/>
      <c r="L17" s="34">
        <f>'Electric Utility Data'!W17</f>
        <v>2</v>
      </c>
      <c r="M17" s="74"/>
      <c r="N17" s="34" t="str">
        <f>'Electric Utility Data'!Y17</f>
        <v>A</v>
      </c>
      <c r="O17" s="36"/>
      <c r="P17" s="51">
        <f>'Electric Utility Data'!X17</f>
        <v>0.75</v>
      </c>
      <c r="Q17" s="51"/>
      <c r="R17" s="52">
        <f>'Electric Utility Data'!AC17</f>
        <v>50400</v>
      </c>
      <c r="S17" s="52"/>
      <c r="T17" s="69" t="s">
        <v>85</v>
      </c>
      <c r="U17" s="52"/>
      <c r="W17" s="54"/>
    </row>
    <row r="18" spans="1:23" ht="17">
      <c r="A18" s="49">
        <f t="shared" si="1"/>
        <v>11</v>
      </c>
      <c r="B18" s="96" t="str">
        <f t="shared" si="0"/>
        <v>Y</v>
      </c>
      <c r="C18" s="36" t="str">
        <f>'Electric Utility Data'!B18</f>
        <v>DTE</v>
      </c>
      <c r="D18" s="36" t="str">
        <f>'Electric Utility Data'!C18</f>
        <v>DTE Energy Co.</v>
      </c>
      <c r="F18" s="50" t="str">
        <f>'Electric Utility Data'!AB18</f>
        <v>Baa2</v>
      </c>
      <c r="G18" s="12">
        <f>VLOOKUP(F18,'Ordinal Ratings'!I$6:J$25,2,FALSE)</f>
        <v>9</v>
      </c>
      <c r="H18" s="36"/>
      <c r="I18" s="50" t="str">
        <f>'Electric Utility Data'!AA18</f>
        <v>BBB+</v>
      </c>
      <c r="J18" s="12">
        <f>VLOOKUP(I18,'Ordinal Ratings'!$A$6:$B$28,2,FALSE)</f>
        <v>8</v>
      </c>
      <c r="K18" s="36"/>
      <c r="L18" s="34">
        <f>'Electric Utility Data'!W18</f>
        <v>2</v>
      </c>
      <c r="M18" s="74"/>
      <c r="N18" s="34" t="str">
        <f>'Electric Utility Data'!Y18</f>
        <v>B++</v>
      </c>
      <c r="O18" s="36"/>
      <c r="P18" s="51">
        <f>'Electric Utility Data'!X18</f>
        <v>0.85</v>
      </c>
      <c r="Q18" s="51"/>
      <c r="R18" s="52">
        <f>'Electric Utility Data'!AC18</f>
        <v>25800</v>
      </c>
      <c r="S18" s="52"/>
      <c r="T18" s="69" t="s">
        <v>85</v>
      </c>
      <c r="U18" s="52"/>
      <c r="W18" s="54"/>
    </row>
    <row r="19" spans="1:23" ht="17">
      <c r="A19" s="49">
        <f t="shared" si="1"/>
        <v>12</v>
      </c>
      <c r="B19" s="96" t="str">
        <f t="shared" si="0"/>
        <v>Y</v>
      </c>
      <c r="C19" s="36" t="str">
        <f>'Electric Utility Data'!B19</f>
        <v>DUK</v>
      </c>
      <c r="D19" s="36" t="str">
        <f>'Electric Utility Data'!C19</f>
        <v>Duke Energy Corp.</v>
      </c>
      <c r="F19" s="50" t="str">
        <f>'Electric Utility Data'!AB19</f>
        <v>Baa2</v>
      </c>
      <c r="G19" s="12">
        <f>VLOOKUP(F19,'Ordinal Ratings'!I$6:J$25,2,FALSE)</f>
        <v>9</v>
      </c>
      <c r="H19" s="36"/>
      <c r="I19" s="50" t="str">
        <f>'Electric Utility Data'!AA19</f>
        <v>BBB+</v>
      </c>
      <c r="J19" s="12">
        <f>VLOOKUP(I19,'Ordinal Ratings'!$A$6:$B$28,2,FALSE)</f>
        <v>8</v>
      </c>
      <c r="K19" s="36"/>
      <c r="L19" s="34">
        <f>'Electric Utility Data'!W19</f>
        <v>2</v>
      </c>
      <c r="M19" s="74"/>
      <c r="N19" s="34" t="str">
        <f>'Electric Utility Data'!Y19</f>
        <v>A</v>
      </c>
      <c r="O19" s="36"/>
      <c r="P19" s="51">
        <f>'Electric Utility Data'!X19</f>
        <v>0.65</v>
      </c>
      <c r="Q19" s="51"/>
      <c r="R19" s="52">
        <f>'Electric Utility Data'!AC19</f>
        <v>90400</v>
      </c>
      <c r="S19" s="52"/>
      <c r="T19" s="69" t="s">
        <v>85</v>
      </c>
      <c r="U19" s="52"/>
      <c r="V19" s="94"/>
      <c r="W19" s="54"/>
    </row>
    <row r="20" spans="1:23" ht="17">
      <c r="A20" s="49">
        <f t="shared" si="1"/>
        <v>13</v>
      </c>
      <c r="B20" s="96" t="str">
        <f t="shared" si="0"/>
        <v>Y</v>
      </c>
      <c r="C20" s="36" t="str">
        <f>'Electric Utility Data'!B20</f>
        <v>EIX</v>
      </c>
      <c r="D20" s="36" t="str">
        <f>'Electric Utility Data'!C20</f>
        <v>Edison International</v>
      </c>
      <c r="F20" s="50" t="str">
        <f>'Electric Utility Data'!AB20</f>
        <v>Baa2</v>
      </c>
      <c r="G20" s="12">
        <f>VLOOKUP(F20,'Ordinal Ratings'!I$6:J$25,2,FALSE)</f>
        <v>9</v>
      </c>
      <c r="H20" s="36"/>
      <c r="I20" s="50" t="str">
        <f>'Electric Utility Data'!AA20</f>
        <v>BBB</v>
      </c>
      <c r="J20" s="12">
        <f>VLOOKUP(I20,'Ordinal Ratings'!$A$6:$B$28,2,FALSE)</f>
        <v>9</v>
      </c>
      <c r="K20" s="36"/>
      <c r="L20" s="34">
        <f>'Electric Utility Data'!W20</f>
        <v>3</v>
      </c>
      <c r="M20" s="74"/>
      <c r="N20" s="34" t="str">
        <f>'Electric Utility Data'!Y20</f>
        <v>B+</v>
      </c>
      <c r="O20" s="36"/>
      <c r="P20" s="51">
        <f>'Electric Utility Data'!X20</f>
        <v>0.9</v>
      </c>
      <c r="Q20" s="51"/>
      <c r="R20" s="52">
        <f>'Electric Utility Data'!AC20</f>
        <v>20600</v>
      </c>
      <c r="S20" s="52"/>
      <c r="T20" s="69" t="s">
        <v>85</v>
      </c>
      <c r="U20" s="52"/>
      <c r="W20" s="54"/>
    </row>
    <row r="21" spans="1:23" ht="17">
      <c r="A21" s="49">
        <f t="shared" si="1"/>
        <v>14</v>
      </c>
      <c r="B21" s="96" t="str">
        <f t="shared" si="0"/>
        <v>Y</v>
      </c>
      <c r="C21" s="36" t="str">
        <f>'Electric Utility Data'!B21</f>
        <v>ETR</v>
      </c>
      <c r="D21" s="36" t="str">
        <f>'Electric Utility Data'!C21</f>
        <v>Entergy Corp.</v>
      </c>
      <c r="F21" s="50" t="str">
        <f>'Electric Utility Data'!AB21</f>
        <v>Baa2</v>
      </c>
      <c r="G21" s="12">
        <f>VLOOKUP(F21,'Ordinal Ratings'!I$6:J$25,2,FALSE)</f>
        <v>9</v>
      </c>
      <c r="H21" s="36"/>
      <c r="I21" s="50" t="str">
        <f>'Electric Utility Data'!AA21</f>
        <v>BBB+</v>
      </c>
      <c r="J21" s="12">
        <f>VLOOKUP(I21,'Ordinal Ratings'!$A$6:$B$28,2,FALSE)</f>
        <v>8</v>
      </c>
      <c r="K21" s="36"/>
      <c r="L21" s="34">
        <f>'Electric Utility Data'!W21</f>
        <v>1</v>
      </c>
      <c r="M21" s="74"/>
      <c r="N21" s="34" t="str">
        <f>'Electric Utility Data'!Y21</f>
        <v>A+</v>
      </c>
      <c r="O21" s="36"/>
      <c r="P21" s="51">
        <f>'Electric Utility Data'!X21</f>
        <v>0.8</v>
      </c>
      <c r="Q21" s="51"/>
      <c r="R21" s="52">
        <f>'Electric Utility Data'!AC21</f>
        <v>32700</v>
      </c>
      <c r="S21" s="52"/>
      <c r="T21" s="69" t="s">
        <v>85</v>
      </c>
      <c r="U21" s="52"/>
      <c r="W21" s="54"/>
    </row>
    <row r="22" spans="1:23" ht="17">
      <c r="A22" s="49">
        <f t="shared" si="1"/>
        <v>15</v>
      </c>
      <c r="B22" s="96" t="str">
        <f t="shared" si="0"/>
        <v>Y</v>
      </c>
      <c r="C22" s="36" t="str">
        <f>'Electric Utility Data'!B22</f>
        <v>EVRG</v>
      </c>
      <c r="D22" s="36" t="str">
        <f>'Electric Utility Data'!C22</f>
        <v>Evergy Inc.</v>
      </c>
      <c r="F22" s="50" t="str">
        <f>'Electric Utility Data'!AB22</f>
        <v>Baa2</v>
      </c>
      <c r="G22" s="12">
        <f>VLOOKUP(F22,'Ordinal Ratings'!I$6:J$25,2,FALSE)</f>
        <v>9</v>
      </c>
      <c r="H22" s="36"/>
      <c r="I22" s="50" t="str">
        <f>'Electric Utility Data'!AA22</f>
        <v>BBB+</v>
      </c>
      <c r="J22" s="12">
        <f>VLOOKUP(I22,'Ordinal Ratings'!$A$6:$B$28,2,FALSE)</f>
        <v>8</v>
      </c>
      <c r="K22" s="36"/>
      <c r="L22" s="34">
        <f>'Electric Utility Data'!W22</f>
        <v>2</v>
      </c>
      <c r="M22" s="74"/>
      <c r="N22" s="34" t="str">
        <f>'Electric Utility Data'!Y22</f>
        <v>B++</v>
      </c>
      <c r="O22" s="36"/>
      <c r="P22" s="51">
        <f>'Electric Utility Data'!X22</f>
        <v>0.75</v>
      </c>
      <c r="Q22" s="51"/>
      <c r="R22" s="52">
        <f>'Electric Utility Data'!AC22</f>
        <v>13600</v>
      </c>
      <c r="S22" s="52"/>
      <c r="T22" s="72" t="s">
        <v>87</v>
      </c>
      <c r="U22" s="52"/>
      <c r="W22" s="54"/>
    </row>
    <row r="23" spans="1:23" ht="17">
      <c r="A23" s="49">
        <f t="shared" si="1"/>
        <v>16</v>
      </c>
      <c r="B23" s="96" t="str">
        <f t="shared" si="0"/>
        <v>Y</v>
      </c>
      <c r="C23" s="36" t="str">
        <f>'Electric Utility Data'!B23</f>
        <v>ES</v>
      </c>
      <c r="D23" s="36" t="str">
        <f>'Electric Utility Data'!C23</f>
        <v>Eversource Energy</v>
      </c>
      <c r="F23" s="50" t="str">
        <f>'Electric Utility Data'!AB23</f>
        <v>Baa2</v>
      </c>
      <c r="G23" s="12">
        <f>VLOOKUP(F23,'Ordinal Ratings'!I$6:J$25,2,FALSE)</f>
        <v>9</v>
      </c>
      <c r="H23" s="36"/>
      <c r="I23" s="50" t="str">
        <f>'Electric Utility Data'!AA23</f>
        <v>BBB+</v>
      </c>
      <c r="J23" s="12">
        <f>VLOOKUP(I23,'Ordinal Ratings'!$A$6:$B$28,2,FALSE)</f>
        <v>8</v>
      </c>
      <c r="K23" s="36"/>
      <c r="L23" s="34">
        <f>'Electric Utility Data'!W23</f>
        <v>2</v>
      </c>
      <c r="M23" s="74"/>
      <c r="N23" s="34" t="str">
        <f>'Electric Utility Data'!Y23</f>
        <v>A</v>
      </c>
      <c r="O23" s="36"/>
      <c r="P23" s="51">
        <f>'Electric Utility Data'!X23</f>
        <v>0.85</v>
      </c>
      <c r="Q23" s="51"/>
      <c r="R23" s="52">
        <f>'Electric Utility Data'!AC23</f>
        <v>23800</v>
      </c>
      <c r="S23" s="52"/>
      <c r="T23" s="72" t="s">
        <v>87</v>
      </c>
      <c r="U23" s="52"/>
      <c r="W23" s="54"/>
    </row>
    <row r="24" spans="1:23" ht="17">
      <c r="A24" s="49">
        <f t="shared" si="1"/>
        <v>17</v>
      </c>
      <c r="B24" s="96" t="str">
        <f t="shared" si="0"/>
        <v/>
      </c>
      <c r="C24" s="36" t="str">
        <f>'Electric Utility Data'!B24</f>
        <v>EXC</v>
      </c>
      <c r="D24" s="36" t="str">
        <f>'Electric Utility Data'!C24</f>
        <v>Exelon Corp.</v>
      </c>
      <c r="F24" s="50" t="str">
        <f>'Electric Utility Data'!AB24</f>
        <v>Baa2</v>
      </c>
      <c r="G24" s="12">
        <f>VLOOKUP(F24,'Ordinal Ratings'!I$6:J$25,2,FALSE)</f>
        <v>9</v>
      </c>
      <c r="H24" s="36"/>
      <c r="I24" s="50" t="str">
        <f>'Electric Utility Data'!AA24</f>
        <v>A-</v>
      </c>
      <c r="J24" s="12">
        <f>VLOOKUP(I24,'Ordinal Ratings'!$A$6:$B$28,2,FALSE)</f>
        <v>7</v>
      </c>
      <c r="K24" s="36"/>
      <c r="L24" s="34">
        <f>'Electric Utility Data'!W24</f>
        <v>3</v>
      </c>
      <c r="M24" s="74"/>
      <c r="N24" s="34" t="str">
        <f>'Electric Utility Data'!Y24</f>
        <v>A</v>
      </c>
      <c r="O24" s="36"/>
      <c r="P24" s="51" t="str">
        <f>'Electric Utility Data'!X24</f>
        <v>n/a</v>
      </c>
      <c r="Q24" s="51"/>
      <c r="R24" s="52">
        <f>'Electric Utility Data'!AC24</f>
        <v>40300</v>
      </c>
      <c r="S24" s="52"/>
      <c r="T24" s="69" t="s">
        <v>85</v>
      </c>
      <c r="U24" s="52"/>
      <c r="W24" s="54"/>
    </row>
    <row r="25" spans="1:23" ht="17">
      <c r="A25" s="49">
        <f t="shared" si="1"/>
        <v>18</v>
      </c>
      <c r="B25" s="96" t="str">
        <f t="shared" si="0"/>
        <v>Y</v>
      </c>
      <c r="C25" s="36" t="str">
        <f>'Electric Utility Data'!B25</f>
        <v>FE</v>
      </c>
      <c r="D25" s="36" t="str">
        <f>'Electric Utility Data'!C25</f>
        <v>FirstEnergy Corp.</v>
      </c>
      <c r="F25" s="50" t="str">
        <f>'Electric Utility Data'!AB25</f>
        <v>Baa3</v>
      </c>
      <c r="G25" s="12">
        <f>VLOOKUP(F25,'Ordinal Ratings'!I$6:J$25,2,FALSE)</f>
        <v>10</v>
      </c>
      <c r="H25" s="36"/>
      <c r="I25" s="50" t="str">
        <f>'Electric Utility Data'!AA25</f>
        <v>BBB</v>
      </c>
      <c r="J25" s="12">
        <f>VLOOKUP(I25,'Ordinal Ratings'!$A$6:$B$28,2,FALSE)</f>
        <v>9</v>
      </c>
      <c r="K25" s="36"/>
      <c r="L25" s="34">
        <f>'Electric Utility Data'!W25</f>
        <v>3</v>
      </c>
      <c r="M25" s="74"/>
      <c r="N25" s="34" t="str">
        <f>'Electric Utility Data'!Y25</f>
        <v>B++</v>
      </c>
      <c r="O25" s="36"/>
      <c r="P25" s="51">
        <f>'Electric Utility Data'!X25</f>
        <v>0.75</v>
      </c>
      <c r="Q25" s="51"/>
      <c r="R25" s="52">
        <f>'Electric Utility Data'!AC25</f>
        <v>25200</v>
      </c>
      <c r="S25" s="52"/>
      <c r="T25" s="69" t="s">
        <v>85</v>
      </c>
      <c r="U25" s="52"/>
      <c r="W25" s="54"/>
    </row>
    <row r="26" spans="1:23" ht="17">
      <c r="A26" s="49">
        <f t="shared" si="1"/>
        <v>19</v>
      </c>
      <c r="B26" s="96" t="str">
        <f t="shared" si="0"/>
        <v/>
      </c>
      <c r="C26" s="36" t="str">
        <f>'Electric Utility Data'!B26</f>
        <v>FTS</v>
      </c>
      <c r="D26" s="36" t="str">
        <f>'Electric Utility Data'!C26</f>
        <v>Fortis Inc.</v>
      </c>
      <c r="F26" s="50" t="str">
        <f>'Electric Utility Data'!AB26</f>
        <v>Baa3</v>
      </c>
      <c r="G26" s="12">
        <f>VLOOKUP(F26,'Ordinal Ratings'!I$6:J$25,2,FALSE)</f>
        <v>10</v>
      </c>
      <c r="H26" s="36"/>
      <c r="I26" s="50" t="str">
        <f>'Electric Utility Data'!AA26</f>
        <v>A-</v>
      </c>
      <c r="J26" s="12">
        <f>VLOOKUP(I26,'Ordinal Ratings'!$A$6:$B$28,2,FALSE)</f>
        <v>7</v>
      </c>
      <c r="K26" s="36"/>
      <c r="L26" s="34">
        <f>'Electric Utility Data'!W26</f>
        <v>1</v>
      </c>
      <c r="M26" s="74"/>
      <c r="N26" s="34" t="str">
        <f>'Electric Utility Data'!Y26</f>
        <v>A+</v>
      </c>
      <c r="O26" s="36"/>
      <c r="P26" s="51">
        <f>'Electric Utility Data'!X26</f>
        <v>0.55000000000000004</v>
      </c>
      <c r="Q26" s="51"/>
      <c r="R26" s="52">
        <f>'Electric Utility Data'!AC26</f>
        <v>29400</v>
      </c>
      <c r="S26" s="52"/>
      <c r="T26" s="72" t="s">
        <v>87</v>
      </c>
      <c r="U26" s="52"/>
      <c r="W26" s="54"/>
    </row>
    <row r="27" spans="1:23" ht="17">
      <c r="A27" s="49">
        <f t="shared" si="1"/>
        <v>20</v>
      </c>
      <c r="B27" s="96" t="str">
        <f t="shared" si="0"/>
        <v/>
      </c>
      <c r="C27" s="36" t="str">
        <f>'Electric Utility Data'!B27</f>
        <v>HE</v>
      </c>
      <c r="D27" s="36" t="str">
        <f>'Electric Utility Data'!C27</f>
        <v>Hawaiian Elec.</v>
      </c>
      <c r="F27" s="50" t="str">
        <f>'Electric Utility Data'!AB27</f>
        <v>B1</v>
      </c>
      <c r="G27" s="12">
        <f>VLOOKUP(F27,'Ordinal Ratings'!I$6:J$25,2,FALSE)</f>
        <v>14</v>
      </c>
      <c r="H27" s="36"/>
      <c r="I27" s="50" t="str">
        <f>'Electric Utility Data'!AA27</f>
        <v>B-</v>
      </c>
      <c r="J27" s="12">
        <f>VLOOKUP(I27,'Ordinal Ratings'!$A$6:$B$28,2,FALSE)</f>
        <v>16</v>
      </c>
      <c r="K27" s="36"/>
      <c r="L27" s="34">
        <f>'Electric Utility Data'!W27</f>
        <v>5</v>
      </c>
      <c r="M27" s="74"/>
      <c r="N27" s="34" t="str">
        <f>'Electric Utility Data'!Y27</f>
        <v>C+</v>
      </c>
      <c r="O27" s="36"/>
      <c r="P27" s="51">
        <f>'Electric Utility Data'!X27</f>
        <v>0.95</v>
      </c>
      <c r="Q27" s="51"/>
      <c r="R27" s="52">
        <f>'Electric Utility Data'!AC27</f>
        <v>1700</v>
      </c>
      <c r="S27" s="52"/>
      <c r="T27" s="69" t="s">
        <v>85</v>
      </c>
      <c r="U27" s="52"/>
      <c r="W27" s="54"/>
    </row>
    <row r="28" spans="1:23" ht="17">
      <c r="A28" s="49">
        <f t="shared" si="1"/>
        <v>21</v>
      </c>
      <c r="B28" s="96" t="str">
        <f t="shared" si="0"/>
        <v>Y</v>
      </c>
      <c r="C28" s="36" t="str">
        <f>'Electric Utility Data'!B28</f>
        <v>IDA</v>
      </c>
      <c r="D28" s="36" t="str">
        <f>'Electric Utility Data'!C28</f>
        <v>IDACORP, Inc.</v>
      </c>
      <c r="F28" s="50" t="str">
        <f>'Electric Utility Data'!AB28</f>
        <v>Baa2</v>
      </c>
      <c r="G28" s="12">
        <f>VLOOKUP(F28,'Ordinal Ratings'!I$6:J$25,2,FALSE)</f>
        <v>9</v>
      </c>
      <c r="H28" s="36"/>
      <c r="I28" s="50" t="str">
        <f>'Electric Utility Data'!AA28</f>
        <v>BBB</v>
      </c>
      <c r="J28" s="12">
        <f>VLOOKUP(I28,'Ordinal Ratings'!$A$6:$B$28,2,FALSE)</f>
        <v>9</v>
      </c>
      <c r="K28" s="36"/>
      <c r="L28" s="34">
        <f>'Electric Utility Data'!W28</f>
        <v>1</v>
      </c>
      <c r="M28" s="74"/>
      <c r="N28" s="34" t="str">
        <f>'Electric Utility Data'!Y28</f>
        <v>A</v>
      </c>
      <c r="O28" s="36"/>
      <c r="P28" s="51">
        <f>'Electric Utility Data'!X28</f>
        <v>0.7</v>
      </c>
      <c r="Q28" s="51"/>
      <c r="R28" s="52">
        <f>'Electric Utility Data'!AC28</f>
        <v>6100</v>
      </c>
      <c r="S28" s="52"/>
      <c r="T28" s="69" t="s">
        <v>85</v>
      </c>
      <c r="U28" s="52"/>
      <c r="W28" s="54"/>
    </row>
    <row r="29" spans="1:23" ht="17">
      <c r="A29" s="49">
        <f t="shared" si="1"/>
        <v>22</v>
      </c>
      <c r="B29" s="96" t="str">
        <f t="shared" si="0"/>
        <v/>
      </c>
      <c r="C29" s="36" t="str">
        <f>'Electric Utility Data'!B29</f>
        <v>MGEE</v>
      </c>
      <c r="D29" s="36" t="str">
        <f>'Electric Utility Data'!C29</f>
        <v>MGE Energy</v>
      </c>
      <c r="F29" s="50" t="str">
        <f>'Electric Utility Data'!AB29</f>
        <v>NR</v>
      </c>
      <c r="G29" s="12" t="str">
        <f>VLOOKUP(F29,'Ordinal Ratings'!I$6:J$25,2,FALSE)</f>
        <v>--</v>
      </c>
      <c r="H29" s="36"/>
      <c r="I29" s="50" t="str">
        <f>'Electric Utility Data'!AA29</f>
        <v>NR</v>
      </c>
      <c r="J29" s="12" t="str">
        <f>VLOOKUP(I29,'Ordinal Ratings'!$A$6:$B$28,2,FALSE)</f>
        <v xml:space="preserve">  --</v>
      </c>
      <c r="K29" s="36"/>
      <c r="L29" s="34">
        <f>'Electric Utility Data'!W29</f>
        <v>3</v>
      </c>
      <c r="M29" s="74"/>
      <c r="N29" s="34" t="str">
        <f>'Electric Utility Data'!Y29</f>
        <v>B++</v>
      </c>
      <c r="O29" s="36"/>
      <c r="P29" s="51">
        <f>'Electric Utility Data'!X29</f>
        <v>0.8</v>
      </c>
      <c r="Q29" s="51"/>
      <c r="R29" s="52">
        <f>'Electric Utility Data'!AC29</f>
        <v>3800</v>
      </c>
      <c r="S29" s="52"/>
      <c r="T29" s="72" t="s">
        <v>87</v>
      </c>
      <c r="U29" s="52"/>
      <c r="W29" s="54"/>
    </row>
    <row r="30" spans="1:23" ht="17">
      <c r="A30" s="49">
        <f t="shared" si="1"/>
        <v>23</v>
      </c>
      <c r="B30" s="96" t="str">
        <f t="shared" si="0"/>
        <v/>
      </c>
      <c r="C30" s="36" t="str">
        <f>'Electric Utility Data'!B30</f>
        <v>NEE</v>
      </c>
      <c r="D30" s="36" t="str">
        <f>'Electric Utility Data'!C30</f>
        <v>NextEra Energy, Inc.</v>
      </c>
      <c r="F30" s="50" t="str">
        <f>'Electric Utility Data'!AB30</f>
        <v>Baa1</v>
      </c>
      <c r="G30" s="12">
        <f>VLOOKUP(F30,'Ordinal Ratings'!I$6:J$25,2,FALSE)</f>
        <v>8</v>
      </c>
      <c r="H30" s="36"/>
      <c r="I30" s="50" t="str">
        <f>'Electric Utility Data'!AA30</f>
        <v>A-</v>
      </c>
      <c r="J30" s="12">
        <f>VLOOKUP(I30,'Ordinal Ratings'!$A$6:$B$28,2,FALSE)</f>
        <v>7</v>
      </c>
      <c r="K30" s="36"/>
      <c r="L30" s="34">
        <f>'Electric Utility Data'!W30</f>
        <v>2</v>
      </c>
      <c r="M30" s="74"/>
      <c r="N30" s="34" t="str">
        <f>'Electric Utility Data'!Y30</f>
        <v>A+</v>
      </c>
      <c r="O30" s="36"/>
      <c r="P30" s="51">
        <f>'Electric Utility Data'!X30</f>
        <v>0.9</v>
      </c>
      <c r="Q30" s="51"/>
      <c r="R30" s="52">
        <f>'Electric Utility Data'!AC30</f>
        <v>170000</v>
      </c>
      <c r="S30" s="52"/>
      <c r="T30" s="69" t="s">
        <v>85</v>
      </c>
      <c r="U30" s="52"/>
      <c r="W30" s="54"/>
    </row>
    <row r="31" spans="1:23" ht="17">
      <c r="A31" s="49">
        <f t="shared" si="1"/>
        <v>24</v>
      </c>
      <c r="B31" s="96" t="str">
        <f t="shared" si="0"/>
        <v>Y</v>
      </c>
      <c r="C31" s="36" t="str">
        <f>'Electric Utility Data'!B31</f>
        <v>NWE</v>
      </c>
      <c r="D31" s="36" t="str">
        <f>'Electric Utility Data'!C31</f>
        <v>NorthWestern Energy Grp.</v>
      </c>
      <c r="F31" s="50" t="str">
        <f>'Electric Utility Data'!AB31</f>
        <v>NR</v>
      </c>
      <c r="G31" s="12" t="str">
        <f>VLOOKUP(F31,'Ordinal Ratings'!I$6:J$25,2,FALSE)</f>
        <v>--</v>
      </c>
      <c r="H31" s="36"/>
      <c r="I31" s="50" t="str">
        <f>'Electric Utility Data'!AA31</f>
        <v>BBB</v>
      </c>
      <c r="J31" s="12">
        <f>VLOOKUP(I31,'Ordinal Ratings'!$A$6:$B$28,2,FALSE)</f>
        <v>9</v>
      </c>
      <c r="K31" s="36"/>
      <c r="L31" s="34">
        <f>'Electric Utility Data'!W31</f>
        <v>2</v>
      </c>
      <c r="M31" s="74"/>
      <c r="N31" s="34" t="str">
        <f>'Electric Utility Data'!Y31</f>
        <v>B++</v>
      </c>
      <c r="O31" s="36"/>
      <c r="P31" s="51">
        <f>'Electric Utility Data'!X31</f>
        <v>0.8</v>
      </c>
      <c r="Q31" s="51"/>
      <c r="R31" s="52">
        <f>'Electric Utility Data'!AC31</f>
        <v>3400</v>
      </c>
      <c r="S31" s="52"/>
      <c r="T31" s="72" t="s">
        <v>87</v>
      </c>
      <c r="U31" s="52"/>
      <c r="V31" s="37" t="s">
        <v>85</v>
      </c>
      <c r="W31" s="54" t="s">
        <v>1546</v>
      </c>
    </row>
    <row r="32" spans="1:23" ht="17">
      <c r="A32" s="49">
        <f t="shared" si="1"/>
        <v>25</v>
      </c>
      <c r="B32" s="96" t="str">
        <f t="shared" si="0"/>
        <v/>
      </c>
      <c r="C32" s="36" t="str">
        <f>'Electric Utility Data'!B32</f>
        <v>OGE</v>
      </c>
      <c r="D32" s="36" t="str">
        <f>'Electric Utility Data'!C32</f>
        <v>OGE Energy Corp.</v>
      </c>
      <c r="F32" s="50" t="str">
        <f>'Electric Utility Data'!AB32</f>
        <v>Baa1</v>
      </c>
      <c r="G32" s="12">
        <f>VLOOKUP(F32,'Ordinal Ratings'!I$6:J$25,2,FALSE)</f>
        <v>8</v>
      </c>
      <c r="H32" s="36"/>
      <c r="I32" s="50" t="str">
        <f>'Electric Utility Data'!AA32</f>
        <v>BBB+</v>
      </c>
      <c r="J32" s="12">
        <f>VLOOKUP(I32,'Ordinal Ratings'!$A$6:$B$28,2,FALSE)</f>
        <v>8</v>
      </c>
      <c r="K32" s="36"/>
      <c r="L32" s="34">
        <f>'Electric Utility Data'!W32</f>
        <v>3</v>
      </c>
      <c r="M32" s="74"/>
      <c r="N32" s="34" t="str">
        <f>'Electric Utility Data'!Y32</f>
        <v>B++</v>
      </c>
      <c r="O32" s="36"/>
      <c r="P32" s="51">
        <f>'Electric Utility Data'!X32</f>
        <v>0.9</v>
      </c>
      <c r="Q32" s="51"/>
      <c r="R32" s="52">
        <f>'Electric Utility Data'!AC32</f>
        <v>8000</v>
      </c>
      <c r="S32" s="52"/>
      <c r="T32" s="72"/>
      <c r="U32" s="52"/>
      <c r="W32" s="54"/>
    </row>
    <row r="33" spans="1:23" ht="17">
      <c r="A33" s="49">
        <f t="shared" si="1"/>
        <v>26</v>
      </c>
      <c r="B33" s="96" t="str">
        <f t="shared" si="0"/>
        <v>Y</v>
      </c>
      <c r="C33" s="36" t="str">
        <f>'Electric Utility Data'!B33</f>
        <v>OTTR</v>
      </c>
      <c r="D33" s="36" t="str">
        <f>'Electric Utility Data'!C33</f>
        <v>Otter Tail Corp.</v>
      </c>
      <c r="F33" s="50" t="str">
        <f>'Electric Utility Data'!AB33</f>
        <v>Baa2</v>
      </c>
      <c r="G33" s="12">
        <f>VLOOKUP(F33,'Ordinal Ratings'!I$6:J$25,2,FALSE)</f>
        <v>9</v>
      </c>
      <c r="H33" s="36"/>
      <c r="I33" s="50" t="str">
        <f>'Electric Utility Data'!AA33</f>
        <v>BBB</v>
      </c>
      <c r="J33" s="12">
        <f>VLOOKUP(I33,'Ordinal Ratings'!$A$6:$B$28,2,FALSE)</f>
        <v>9</v>
      </c>
      <c r="K33" s="36"/>
      <c r="L33" s="34">
        <f>'Electric Utility Data'!W33</f>
        <v>2</v>
      </c>
      <c r="M33" s="74"/>
      <c r="N33" s="34" t="str">
        <f>'Electric Utility Data'!Y33</f>
        <v>A</v>
      </c>
      <c r="O33" s="36"/>
      <c r="P33" s="51">
        <f>'Electric Utility Data'!X33</f>
        <v>0.9</v>
      </c>
      <c r="Q33" s="51"/>
      <c r="R33" s="52">
        <f>'Electric Utility Data'!AC33</f>
        <v>3800</v>
      </c>
      <c r="S33" s="52"/>
      <c r="T33" s="69" t="s">
        <v>85</v>
      </c>
      <c r="U33" s="52"/>
      <c r="W33" s="54"/>
    </row>
    <row r="34" spans="1:23" ht="17">
      <c r="A34" s="49">
        <f t="shared" si="1"/>
        <v>27</v>
      </c>
      <c r="B34" s="96" t="str">
        <f t="shared" si="0"/>
        <v/>
      </c>
      <c r="C34" s="36" t="str">
        <f>'Electric Utility Data'!B34</f>
        <v>PCG</v>
      </c>
      <c r="D34" s="36" t="str">
        <f>'Electric Utility Data'!C34</f>
        <v>PG&amp;E Corp.</v>
      </c>
      <c r="F34" s="50" t="str">
        <f>'Electric Utility Data'!AB34</f>
        <v>Ba3</v>
      </c>
      <c r="G34" s="12">
        <f>VLOOKUP(F34,'Ordinal Ratings'!I$6:J$25,2,FALSE)</f>
        <v>13</v>
      </c>
      <c r="H34" s="36"/>
      <c r="I34" s="50" t="str">
        <f>'Electric Utility Data'!AA34</f>
        <v>BB</v>
      </c>
      <c r="J34" s="12">
        <f>VLOOKUP(I34,'Ordinal Ratings'!$A$6:$B$28,2,FALSE)</f>
        <v>12</v>
      </c>
      <c r="K34" s="36"/>
      <c r="L34" s="34">
        <f>'Electric Utility Data'!W34</f>
        <v>3</v>
      </c>
      <c r="M34" s="74"/>
      <c r="N34" s="34" t="str">
        <f>'Electric Utility Data'!Y34</f>
        <v>B</v>
      </c>
      <c r="O34" s="36"/>
      <c r="P34" s="51">
        <f>'Electric Utility Data'!X34</f>
        <v>0.95</v>
      </c>
      <c r="Q34" s="51"/>
      <c r="R34" s="52">
        <f>'Electric Utility Data'!AC34</f>
        <v>35300</v>
      </c>
      <c r="S34" s="52"/>
      <c r="T34" s="72" t="s">
        <v>87</v>
      </c>
      <c r="U34" s="52"/>
      <c r="W34" s="54"/>
    </row>
    <row r="35" spans="1:23" ht="17">
      <c r="A35" s="49">
        <f t="shared" si="1"/>
        <v>28</v>
      </c>
      <c r="B35" s="96" t="str">
        <f t="shared" si="0"/>
        <v>Y</v>
      </c>
      <c r="C35" s="36" t="str">
        <f>'Electric Utility Data'!B35</f>
        <v>PNW</v>
      </c>
      <c r="D35" s="36" t="str">
        <f>'Electric Utility Data'!C35</f>
        <v>Pinnacle West Capital</v>
      </c>
      <c r="F35" s="50" t="str">
        <f>'Electric Utility Data'!AB35</f>
        <v>Baa2</v>
      </c>
      <c r="G35" s="12">
        <f>VLOOKUP(F35,'Ordinal Ratings'!I$6:J$25,2,FALSE)</f>
        <v>9</v>
      </c>
      <c r="H35" s="36"/>
      <c r="I35" s="50" t="str">
        <f>'Electric Utility Data'!AA35</f>
        <v>BBB+</v>
      </c>
      <c r="J35" s="12">
        <f>VLOOKUP(I35,'Ordinal Ratings'!$A$6:$B$28,2,FALSE)</f>
        <v>8</v>
      </c>
      <c r="K35" s="36"/>
      <c r="L35" s="34">
        <f>'Electric Utility Data'!W35</f>
        <v>2</v>
      </c>
      <c r="M35" s="74"/>
      <c r="N35" s="34" t="str">
        <f>'Electric Utility Data'!Y35</f>
        <v>B++</v>
      </c>
      <c r="O35" s="36"/>
      <c r="P35" s="51">
        <f>'Electric Utility Data'!X35</f>
        <v>0.8</v>
      </c>
      <c r="Q35" s="51"/>
      <c r="R35" s="52">
        <f>'Electric Utility Data'!AC35</f>
        <v>10600</v>
      </c>
      <c r="S35" s="52"/>
      <c r="T35" s="72" t="s">
        <v>87</v>
      </c>
      <c r="U35" s="52"/>
      <c r="W35" s="54"/>
    </row>
    <row r="36" spans="1:23" ht="17">
      <c r="A36" s="49">
        <f t="shared" si="1"/>
        <v>29</v>
      </c>
      <c r="B36" s="96" t="str">
        <f t="shared" si="0"/>
        <v/>
      </c>
      <c r="C36" s="36" t="str">
        <f>'Electric Utility Data'!B36</f>
        <v>POR</v>
      </c>
      <c r="D36" s="36" t="str">
        <f>'Electric Utility Data'!C36</f>
        <v>Portland General Elec.</v>
      </c>
      <c r="F36" s="50" t="str">
        <f>'Electric Utility Data'!AB36</f>
        <v>A3</v>
      </c>
      <c r="G36" s="12">
        <f>VLOOKUP(F36,'Ordinal Ratings'!I$6:J$25,2,FALSE)</f>
        <v>7</v>
      </c>
      <c r="H36" s="36"/>
      <c r="I36" s="50" t="str">
        <f>'Electric Utility Data'!AA36</f>
        <v>BBB+</v>
      </c>
      <c r="J36" s="12">
        <f>VLOOKUP(I36,'Ordinal Ratings'!$A$6:$B$28,2,FALSE)</f>
        <v>8</v>
      </c>
      <c r="K36" s="36"/>
      <c r="L36" s="34">
        <f>'Electric Utility Data'!W36</f>
        <v>2</v>
      </c>
      <c r="M36" s="74"/>
      <c r="N36" s="34" t="str">
        <f>'Electric Utility Data'!Y36</f>
        <v>B++</v>
      </c>
      <c r="O36" s="36"/>
      <c r="P36" s="51">
        <f>'Electric Utility Data'!X36</f>
        <v>0.8</v>
      </c>
      <c r="Q36" s="51"/>
      <c r="R36" s="52">
        <f>'Electric Utility Data'!AC36</f>
        <v>4500</v>
      </c>
      <c r="S36" s="52"/>
      <c r="T36" s="72" t="s">
        <v>87</v>
      </c>
      <c r="U36" s="52"/>
      <c r="W36" s="54"/>
    </row>
    <row r="37" spans="1:23" ht="17">
      <c r="A37" s="49">
        <f t="shared" si="1"/>
        <v>30</v>
      </c>
      <c r="B37" s="96" t="str">
        <f t="shared" si="0"/>
        <v/>
      </c>
      <c r="C37" s="36" t="str">
        <f>'Electric Utility Data'!B37</f>
        <v>PPL</v>
      </c>
      <c r="D37" s="36" t="str">
        <f>'Electric Utility Data'!C37</f>
        <v>PPL Corp.</v>
      </c>
      <c r="F37" s="50" t="str">
        <f>'Electric Utility Data'!AB37</f>
        <v>Baa1</v>
      </c>
      <c r="G37" s="12">
        <f>VLOOKUP(F37,'Ordinal Ratings'!I$6:J$25,2,FALSE)</f>
        <v>8</v>
      </c>
      <c r="H37" s="36"/>
      <c r="I37" s="50" t="str">
        <f>'Electric Utility Data'!AA37</f>
        <v>A-</v>
      </c>
      <c r="J37" s="12">
        <f>VLOOKUP(I37,'Ordinal Ratings'!$A$6:$B$28,2,FALSE)</f>
        <v>7</v>
      </c>
      <c r="K37" s="36"/>
      <c r="L37" s="34">
        <f>'Electric Utility Data'!W37</f>
        <v>2</v>
      </c>
      <c r="M37" s="74"/>
      <c r="N37" s="34" t="str">
        <f>'Electric Utility Data'!Y37</f>
        <v>A+</v>
      </c>
      <c r="O37" s="36"/>
      <c r="P37" s="51">
        <f>'Electric Utility Data'!X37</f>
        <v>0.9</v>
      </c>
      <c r="Q37" s="51"/>
      <c r="R37" s="52">
        <f>'Electric Utility Data'!AC37</f>
        <v>24100</v>
      </c>
      <c r="S37" s="52"/>
      <c r="T37" s="72" t="s">
        <v>87</v>
      </c>
      <c r="U37" s="52"/>
      <c r="W37" s="54"/>
    </row>
    <row r="38" spans="1:23" ht="17">
      <c r="A38" s="49">
        <f t="shared" si="1"/>
        <v>31</v>
      </c>
      <c r="B38" s="96" t="str">
        <f t="shared" si="0"/>
        <v>Y</v>
      </c>
      <c r="C38" s="36" t="str">
        <f>'Electric Utility Data'!B38</f>
        <v>PEG</v>
      </c>
      <c r="D38" s="36" t="str">
        <f>'Electric Utility Data'!C38</f>
        <v>Pub Sv Enterprise Grp.</v>
      </c>
      <c r="F38" s="50" t="str">
        <f>'Electric Utility Data'!AB38</f>
        <v>Baa2</v>
      </c>
      <c r="G38" s="12">
        <f>VLOOKUP(F38,'Ordinal Ratings'!I$6:J$25,2,FALSE)</f>
        <v>9</v>
      </c>
      <c r="H38" s="36"/>
      <c r="I38" s="50" t="str">
        <f>'Electric Utility Data'!AA38</f>
        <v>BBB+</v>
      </c>
      <c r="J38" s="12">
        <f>VLOOKUP(I38,'Ordinal Ratings'!$A$6:$B$28,2,FALSE)</f>
        <v>8</v>
      </c>
      <c r="K38" s="36"/>
      <c r="L38" s="34">
        <f>'Electric Utility Data'!W38</f>
        <v>1</v>
      </c>
      <c r="M38" s="74"/>
      <c r="N38" s="34" t="str">
        <f>'Electric Utility Data'!Y38</f>
        <v>A</v>
      </c>
      <c r="O38" s="36"/>
      <c r="P38" s="51">
        <f>'Electric Utility Data'!X38</f>
        <v>0.85</v>
      </c>
      <c r="Q38" s="51"/>
      <c r="R38" s="52">
        <f>'Electric Utility Data'!AC38</f>
        <v>45000</v>
      </c>
      <c r="S38" s="52"/>
      <c r="T38" s="72" t="s">
        <v>87</v>
      </c>
      <c r="U38" s="52"/>
      <c r="W38" s="54"/>
    </row>
    <row r="39" spans="1:23" ht="17">
      <c r="A39" s="49">
        <f t="shared" si="1"/>
        <v>32</v>
      </c>
      <c r="B39" s="96" t="str">
        <f t="shared" si="0"/>
        <v>Y</v>
      </c>
      <c r="C39" s="36" t="str">
        <f>'Electric Utility Data'!B39</f>
        <v>SRE</v>
      </c>
      <c r="D39" s="36" t="str">
        <f>'Electric Utility Data'!C39</f>
        <v>Sempra</v>
      </c>
      <c r="F39" s="50" t="str">
        <f>'Electric Utility Data'!AB39</f>
        <v>Baa2</v>
      </c>
      <c r="G39" s="12">
        <f>VLOOKUP(F39,'Ordinal Ratings'!I$6:J$25,2,FALSE)</f>
        <v>9</v>
      </c>
      <c r="H39" s="36"/>
      <c r="I39" s="50" t="str">
        <f>'Electric Utility Data'!AA39</f>
        <v>BBB+</v>
      </c>
      <c r="J39" s="12">
        <f>VLOOKUP(I39,'Ordinal Ratings'!$A$6:$B$28,2,FALSE)</f>
        <v>8</v>
      </c>
      <c r="K39" s="36"/>
      <c r="L39" s="34">
        <f>'Electric Utility Data'!W39</f>
        <v>2</v>
      </c>
      <c r="M39" s="74"/>
      <c r="N39" s="34" t="str">
        <f>'Electric Utility Data'!Y39</f>
        <v>B++</v>
      </c>
      <c r="O39" s="36"/>
      <c r="P39" s="51">
        <f>'Electric Utility Data'!X39</f>
        <v>0.9</v>
      </c>
      <c r="Q39" s="51"/>
      <c r="R39" s="52">
        <f>'Electric Utility Data'!AC39</f>
        <v>41600</v>
      </c>
      <c r="S39" s="52"/>
      <c r="T39" s="72" t="s">
        <v>87</v>
      </c>
      <c r="U39" s="52"/>
      <c r="V39" s="94"/>
      <c r="W39" s="54"/>
    </row>
    <row r="40" spans="1:23" ht="17">
      <c r="A40" s="49">
        <f t="shared" si="1"/>
        <v>33</v>
      </c>
      <c r="B40" s="96" t="str">
        <f t="shared" si="0"/>
        <v/>
      </c>
      <c r="C40" s="36" t="str">
        <f>'Electric Utility Data'!B40</f>
        <v>SO</v>
      </c>
      <c r="D40" s="36" t="str">
        <f>'Electric Utility Data'!C40</f>
        <v>Southern Company</v>
      </c>
      <c r="F40" s="50" t="str">
        <f>'Electric Utility Data'!AB40</f>
        <v>Baa1</v>
      </c>
      <c r="G40" s="12">
        <f>VLOOKUP(F40,'Ordinal Ratings'!I$6:J$25,2,FALSE)</f>
        <v>8</v>
      </c>
      <c r="H40" s="36"/>
      <c r="I40" s="50" t="str">
        <f>'Electric Utility Data'!AA40</f>
        <v>A-</v>
      </c>
      <c r="J40" s="12">
        <f>VLOOKUP(I40,'Ordinal Ratings'!$A$6:$B$28,2,FALSE)</f>
        <v>7</v>
      </c>
      <c r="K40" s="36"/>
      <c r="L40" s="34">
        <f>'Electric Utility Data'!W40</f>
        <v>2</v>
      </c>
      <c r="M40" s="74"/>
      <c r="N40" s="34" t="str">
        <f>'Electric Utility Data'!Y40</f>
        <v>A</v>
      </c>
      <c r="O40" s="36"/>
      <c r="P40" s="51">
        <f>'Electric Utility Data'!X40</f>
        <v>0.75</v>
      </c>
      <c r="Q40" s="51"/>
      <c r="R40" s="52">
        <f>'Electric Utility Data'!AC40</f>
        <v>100500</v>
      </c>
      <c r="S40" s="52"/>
      <c r="T40" s="72" t="s">
        <v>87</v>
      </c>
      <c r="U40" s="52"/>
      <c r="W40" s="54"/>
    </row>
    <row r="41" spans="1:23" ht="17">
      <c r="A41" s="49">
        <f t="shared" si="1"/>
        <v>34</v>
      </c>
      <c r="B41" s="96" t="str">
        <f t="shared" si="0"/>
        <v/>
      </c>
      <c r="C41" s="36" t="str">
        <f>'Electric Utility Data'!B41</f>
        <v>TXNM</v>
      </c>
      <c r="D41" s="36" t="str">
        <f>'Electric Utility Data'!C41</f>
        <v>TXNM Energy</v>
      </c>
      <c r="F41" s="50" t="str">
        <f>'Electric Utility Data'!AB41</f>
        <v>Baa3</v>
      </c>
      <c r="G41" s="12">
        <f>VLOOKUP(F41,'Ordinal Ratings'!I$6:J$25,2,FALSE)</f>
        <v>10</v>
      </c>
      <c r="H41" s="36"/>
      <c r="I41" s="50" t="str">
        <f>'Electric Utility Data'!AA41</f>
        <v>BBB</v>
      </c>
      <c r="J41" s="12">
        <f>VLOOKUP(I41,'Ordinal Ratings'!$A$6:$B$28,2,FALSE)</f>
        <v>9</v>
      </c>
      <c r="K41" s="36"/>
      <c r="L41" s="34">
        <f>'Electric Utility Data'!W41</f>
        <v>2</v>
      </c>
      <c r="M41" s="74"/>
      <c r="N41" s="34" t="str">
        <f>'Electric Utility Data'!Y41</f>
        <v>B++</v>
      </c>
      <c r="O41" s="36"/>
      <c r="P41" s="51">
        <f>'Electric Utility Data'!X41</f>
        <v>0.7</v>
      </c>
      <c r="Q41" s="51"/>
      <c r="R41" s="52">
        <f>'Electric Utility Data'!AC41</f>
        <v>4600</v>
      </c>
      <c r="S41" s="52"/>
      <c r="T41" s="69" t="s">
        <v>85</v>
      </c>
      <c r="U41" s="52"/>
      <c r="V41" s="37" t="s">
        <v>86</v>
      </c>
      <c r="W41" s="54" t="s">
        <v>1480</v>
      </c>
    </row>
    <row r="42" spans="1:23" ht="15" customHeight="1">
      <c r="A42" s="49">
        <f t="shared" si="1"/>
        <v>35</v>
      </c>
      <c r="B42" s="96" t="str">
        <f t="shared" si="0"/>
        <v/>
      </c>
      <c r="C42" s="36" t="str">
        <f>'Electric Utility Data'!B42</f>
        <v>WEC</v>
      </c>
      <c r="D42" s="36" t="str">
        <f>'Electric Utility Data'!C42</f>
        <v>WEC Energy Group</v>
      </c>
      <c r="F42" s="50" t="str">
        <f>'Electric Utility Data'!AB42</f>
        <v>Baa1</v>
      </c>
      <c r="G42" s="12">
        <f>VLOOKUP(F42,'Ordinal Ratings'!I$6:J$25,2,FALSE)</f>
        <v>8</v>
      </c>
      <c r="H42" s="36"/>
      <c r="I42" s="50" t="str">
        <f>'Electric Utility Data'!AA42</f>
        <v>A-</v>
      </c>
      <c r="J42" s="12">
        <f>VLOOKUP(I42,'Ordinal Ratings'!$A$6:$B$28,2,FALSE)</f>
        <v>7</v>
      </c>
      <c r="K42" s="36"/>
      <c r="L42" s="34">
        <f>'Electric Utility Data'!W42</f>
        <v>1</v>
      </c>
      <c r="M42" s="74"/>
      <c r="N42" s="34" t="str">
        <f>'Electric Utility Data'!Y42</f>
        <v>A+</v>
      </c>
      <c r="O42" s="36"/>
      <c r="P42" s="51">
        <f>'Electric Utility Data'!X42</f>
        <v>0.7</v>
      </c>
      <c r="Q42" s="51"/>
      <c r="R42" s="52">
        <f>'Electric Utility Data'!AC42</f>
        <v>29400</v>
      </c>
      <c r="S42" s="52"/>
      <c r="T42" s="69" t="s">
        <v>85</v>
      </c>
      <c r="U42" s="52"/>
      <c r="W42" s="54"/>
    </row>
    <row r="43" spans="1:23" ht="17">
      <c r="A43" s="49">
        <f t="shared" si="1"/>
        <v>36</v>
      </c>
      <c r="B43" s="96" t="str">
        <f t="shared" si="0"/>
        <v/>
      </c>
      <c r="C43" s="36" t="str">
        <f>'Electric Utility Data'!B43</f>
        <v>XEL</v>
      </c>
      <c r="D43" s="36" t="str">
        <f>'Electric Utility Data'!C43</f>
        <v>Xcel Energy Inc.</v>
      </c>
      <c r="F43" s="50" t="str">
        <f>'Electric Utility Data'!AB43</f>
        <v>Baa1</v>
      </c>
      <c r="G43" s="12">
        <f>VLOOKUP(F43,'Ordinal Ratings'!I$6:J$25,2,FALSE)</f>
        <v>8</v>
      </c>
      <c r="H43" s="36"/>
      <c r="I43" s="50" t="str">
        <f>'Electric Utility Data'!AA43</f>
        <v>BBB+</v>
      </c>
      <c r="J43" s="12">
        <f>VLOOKUP(I43,'Ordinal Ratings'!$A$6:$B$28,2,FALSE)</f>
        <v>8</v>
      </c>
      <c r="K43" s="36"/>
      <c r="L43" s="34">
        <f>'Electric Utility Data'!W43</f>
        <v>2</v>
      </c>
      <c r="M43" s="74"/>
      <c r="N43" s="34" t="str">
        <f>'Electric Utility Data'!Y43</f>
        <v>A</v>
      </c>
      <c r="O43" s="36"/>
      <c r="P43" s="51">
        <f>'Electric Utility Data'!X43</f>
        <v>0.75</v>
      </c>
      <c r="Q43" s="51"/>
      <c r="R43" s="52">
        <f>'Electric Utility Data'!AC43</f>
        <v>38500</v>
      </c>
      <c r="S43" s="52"/>
      <c r="T43" s="69" t="s">
        <v>85</v>
      </c>
      <c r="U43" s="52"/>
      <c r="W43" s="54"/>
    </row>
    <row r="44" spans="1:23">
      <c r="A44" s="49"/>
      <c r="B44" s="49"/>
      <c r="C44" s="49"/>
      <c r="I44" s="49"/>
      <c r="J44" s="55"/>
      <c r="W44" s="53"/>
    </row>
    <row r="45" spans="1:23" s="22" customFormat="1" ht="13">
      <c r="A45" s="27" t="s">
        <v>21</v>
      </c>
      <c r="B45" s="25" t="str">
        <f>'Electric Utility Data'!B50</f>
        <v>www.moodys.com (retrieved May 20, 2025).</v>
      </c>
      <c r="D45" s="25"/>
      <c r="E45" s="23"/>
      <c r="H45" s="24"/>
      <c r="I45" s="28"/>
      <c r="J45" s="23"/>
      <c r="K45" s="24"/>
      <c r="L45" s="23"/>
      <c r="M45" s="75"/>
      <c r="N45" s="76"/>
      <c r="O45" s="75"/>
      <c r="P45" s="25"/>
      <c r="Q45" s="25"/>
      <c r="R45" s="25"/>
      <c r="S45" s="25"/>
      <c r="T45" s="25"/>
      <c r="U45" s="25"/>
      <c r="V45" s="26"/>
      <c r="W45" s="29"/>
    </row>
    <row r="46" spans="1:23" s="22" customFormat="1" ht="13">
      <c r="A46" s="27" t="s">
        <v>22</v>
      </c>
      <c r="B46" s="25" t="str">
        <f>'Electric Utility Data'!B49</f>
        <v>www.spglobal.com (retrieved May 20, 2025).</v>
      </c>
      <c r="E46" s="23"/>
      <c r="H46" s="24"/>
      <c r="I46" s="28"/>
      <c r="J46" s="23"/>
      <c r="K46" s="24"/>
      <c r="L46" s="23"/>
      <c r="M46" s="75"/>
      <c r="N46" s="76"/>
      <c r="O46" s="75"/>
      <c r="P46" s="25"/>
      <c r="Q46" s="25"/>
      <c r="R46" s="25"/>
      <c r="S46" s="25"/>
      <c r="T46" s="25"/>
      <c r="U46" s="25"/>
      <c r="V46" s="26"/>
      <c r="W46" s="29"/>
    </row>
    <row r="47" spans="1:23" s="22" customFormat="1" ht="13">
      <c r="A47" s="27" t="s">
        <v>23</v>
      </c>
      <c r="B47" s="25" t="str">
        <f>'Electric Utility Data'!B48</f>
        <v>The Value Line Investment Survey (Mar. 7, Apr. 18, and May 9, 2025).</v>
      </c>
      <c r="E47" s="23"/>
      <c r="H47" s="24"/>
      <c r="I47" s="28"/>
      <c r="J47" s="23"/>
      <c r="K47" s="24"/>
      <c r="L47" s="23"/>
      <c r="M47" s="75"/>
      <c r="N47" s="76"/>
      <c r="O47" s="75"/>
      <c r="P47" s="25"/>
      <c r="Q47" s="25"/>
      <c r="R47" s="25"/>
      <c r="S47" s="25"/>
      <c r="T47" s="25"/>
      <c r="U47" s="25"/>
      <c r="V47" s="26"/>
      <c r="W47" s="29"/>
    </row>
    <row r="48" spans="1:23" s="22" customFormat="1" ht="13">
      <c r="A48" s="27"/>
      <c r="B48" s="25"/>
      <c r="E48" s="23"/>
      <c r="H48" s="24"/>
      <c r="I48" s="28"/>
      <c r="J48" s="23"/>
      <c r="K48" s="24"/>
      <c r="L48" s="23"/>
      <c r="M48" s="75"/>
      <c r="N48" s="76"/>
      <c r="O48" s="75"/>
      <c r="P48" s="25"/>
      <c r="Q48" s="25"/>
      <c r="R48" s="25"/>
      <c r="S48" s="25"/>
      <c r="T48" s="25"/>
      <c r="U48" s="25"/>
      <c r="V48" s="26"/>
      <c r="W48" s="29"/>
    </row>
    <row r="50" spans="2:15">
      <c r="I50" s="50"/>
      <c r="L50" s="34" t="s">
        <v>61</v>
      </c>
      <c r="M50" s="74"/>
      <c r="N50" s="51" t="s">
        <v>62</v>
      </c>
      <c r="O50" s="74"/>
    </row>
    <row r="51" spans="2:15">
      <c r="B51" s="55">
        <f>COUNTIF(B8:B43,"Y")</f>
        <v>20</v>
      </c>
      <c r="C51" s="39" t="s">
        <v>88</v>
      </c>
      <c r="F51" s="56" t="s">
        <v>89</v>
      </c>
      <c r="I51" s="56" t="s">
        <v>64</v>
      </c>
      <c r="L51" s="56" t="s">
        <v>65</v>
      </c>
      <c r="M51" s="57"/>
      <c r="N51" s="97" t="s">
        <v>66</v>
      </c>
      <c r="O51" s="74"/>
    </row>
    <row r="52" spans="2:15">
      <c r="B52" s="49"/>
      <c r="C52" s="109" t="s">
        <v>1481</v>
      </c>
      <c r="D52" s="110"/>
      <c r="F52" s="593" t="s">
        <v>507</v>
      </c>
      <c r="G52" s="12">
        <f>VLOOKUP(F52,'Ordinal Ratings'!I$6:J$25,2,FALSE)</f>
        <v>10</v>
      </c>
      <c r="H52" s="58"/>
      <c r="I52" s="120" t="s">
        <v>502</v>
      </c>
      <c r="J52" s="12">
        <f>VLOOKUP(I52,'Ordinal Ratings'!$A$6:$B$28,2,FALSE)</f>
        <v>9</v>
      </c>
      <c r="L52" s="593">
        <f>L11</f>
        <v>1</v>
      </c>
      <c r="M52" s="14"/>
      <c r="N52" s="593" t="str">
        <f>N11</f>
        <v>A</v>
      </c>
      <c r="O52" s="12">
        <f>VLOOKUP(N52,'Ordinal Ratings'!$E$6:$F$16,2,FALSE)</f>
        <v>3</v>
      </c>
    </row>
    <row r="53" spans="2:15">
      <c r="B53" s="49"/>
      <c r="C53" s="36" t="s">
        <v>92</v>
      </c>
      <c r="F53" s="12" t="str">
        <f>VLOOKUP(G53,'Ordinal Ratings'!$J$6:$K$24,2,FALSE)</f>
        <v>Baa3</v>
      </c>
      <c r="G53" s="12">
        <f>G52</f>
        <v>10</v>
      </c>
      <c r="I53" s="12" t="str">
        <f>VLOOKUP(J53,'Ordinal Ratings'!$B$6:$C$26,2,FALSE)</f>
        <v>BBB-</v>
      </c>
      <c r="J53" s="12">
        <f>J52+1</f>
        <v>10</v>
      </c>
      <c r="L53" s="34">
        <v>3</v>
      </c>
      <c r="M53" s="14"/>
      <c r="N53" s="185"/>
      <c r="O53" s="12"/>
    </row>
    <row r="54" spans="2:15">
      <c r="B54" s="49"/>
      <c r="C54" s="36" t="s">
        <v>93</v>
      </c>
      <c r="F54" s="12" t="str">
        <f>VLOOKUP(G54,'Ordinal Ratings'!$J$6:$K$24,2,FALSE)</f>
        <v>Baa2</v>
      </c>
      <c r="G54" s="34">
        <f>G52-1</f>
        <v>9</v>
      </c>
      <c r="I54" s="12" t="str">
        <f>VLOOKUP(J54,'Ordinal Ratings'!$B$6:$C$26,2,FALSE)</f>
        <v>BBB+</v>
      </c>
      <c r="J54" s="34">
        <f>J52-1</f>
        <v>8</v>
      </c>
      <c r="L54" s="34">
        <v>1</v>
      </c>
      <c r="M54" s="14"/>
      <c r="N54" s="185"/>
      <c r="O54" s="12"/>
    </row>
    <row r="55" spans="2:15">
      <c r="C55" s="49"/>
      <c r="E55" s="32"/>
      <c r="F55" s="10"/>
      <c r="G55" s="12"/>
      <c r="I55" s="10"/>
      <c r="J55" s="12"/>
      <c r="L55" s="34"/>
      <c r="M55" s="14"/>
      <c r="N55" s="51"/>
      <c r="O55" s="74"/>
    </row>
    <row r="56" spans="2:15">
      <c r="C56" s="49"/>
      <c r="E56" s="32"/>
      <c r="F56" s="10"/>
      <c r="G56" s="12"/>
      <c r="I56" s="10"/>
      <c r="J56" s="12"/>
      <c r="L56" s="34"/>
      <c r="M56" s="14"/>
      <c r="N56" s="51"/>
      <c r="O56" s="74"/>
    </row>
    <row r="57" spans="2:15">
      <c r="B57" s="49"/>
      <c r="C57" s="36"/>
      <c r="E57" s="32"/>
      <c r="F57" s="10"/>
      <c r="I57" s="10"/>
      <c r="L57" s="34"/>
      <c r="M57" s="14"/>
      <c r="N57" s="51"/>
      <c r="O57" s="74"/>
    </row>
    <row r="58" spans="2:15">
      <c r="B58" s="49"/>
      <c r="C58" s="36"/>
      <c r="E58" s="32"/>
      <c r="F58" s="10"/>
      <c r="I58" s="10"/>
      <c r="L58" s="34"/>
      <c r="M58" s="14"/>
      <c r="N58" s="51"/>
      <c r="O58" s="74"/>
    </row>
    <row r="59" spans="2:15">
      <c r="B59" s="49"/>
      <c r="C59" s="36"/>
      <c r="E59" s="36"/>
      <c r="F59" s="10"/>
      <c r="G59" s="12"/>
      <c r="I59" s="59"/>
      <c r="L59" s="34"/>
      <c r="M59" s="74"/>
      <c r="N59" s="51"/>
      <c r="O59" s="74"/>
    </row>
    <row r="60" spans="2:15">
      <c r="B60" s="49"/>
      <c r="C60" s="36"/>
      <c r="D60" s="36"/>
      <c r="I60" s="50"/>
      <c r="L60" s="34"/>
      <c r="M60" s="74"/>
      <c r="N60" s="51"/>
      <c r="O60" s="74"/>
    </row>
    <row r="61" spans="2:15">
      <c r="B61" s="49"/>
      <c r="C61" s="36"/>
      <c r="D61" s="36"/>
      <c r="I61" s="50"/>
      <c r="L61" s="34"/>
      <c r="M61" s="74"/>
      <c r="N61" s="51"/>
      <c r="O61" s="74"/>
    </row>
    <row r="62" spans="2:15">
      <c r="B62" s="49"/>
      <c r="C62" s="36"/>
      <c r="D62" s="36"/>
      <c r="I62" s="50"/>
      <c r="L62" s="34"/>
      <c r="M62" s="74"/>
      <c r="N62" s="51"/>
      <c r="O62" s="74"/>
    </row>
    <row r="63" spans="2:15">
      <c r="B63" s="49"/>
      <c r="C63" s="60" t="str">
        <f t="shared" ref="C63:D82" si="2">IF($B8="Y",C8,"zzz")</f>
        <v>zzz</v>
      </c>
      <c r="D63" s="60" t="str">
        <f t="shared" si="2"/>
        <v>zzz</v>
      </c>
      <c r="I63" s="50"/>
      <c r="L63" s="34"/>
      <c r="M63" s="74"/>
      <c r="N63" s="51"/>
      <c r="O63" s="74"/>
    </row>
    <row r="64" spans="2:15">
      <c r="B64" s="49"/>
      <c r="C64" s="60" t="str">
        <f t="shared" si="2"/>
        <v>LNT</v>
      </c>
      <c r="D64" s="60" t="str">
        <f t="shared" si="2"/>
        <v>Alliant Energy</v>
      </c>
      <c r="I64" s="50"/>
      <c r="L64" s="34"/>
      <c r="M64" s="74"/>
      <c r="N64" s="51"/>
      <c r="O64" s="74"/>
    </row>
    <row r="65" spans="3:4">
      <c r="C65" s="60" t="str">
        <f t="shared" si="2"/>
        <v>zzz</v>
      </c>
      <c r="D65" s="60" t="str">
        <f t="shared" si="2"/>
        <v>zzz</v>
      </c>
    </row>
    <row r="66" spans="3:4">
      <c r="C66" s="60" t="str">
        <f t="shared" si="2"/>
        <v>AEP</v>
      </c>
      <c r="D66" s="60" t="str">
        <f t="shared" si="2"/>
        <v>American Elec Pwr</v>
      </c>
    </row>
    <row r="67" spans="3:4">
      <c r="C67" s="60" t="str">
        <f t="shared" si="2"/>
        <v>AVA</v>
      </c>
      <c r="D67" s="60" t="str">
        <f t="shared" si="2"/>
        <v>Avista Corp.</v>
      </c>
    </row>
    <row r="68" spans="3:4">
      <c r="C68" s="60" t="str">
        <f t="shared" si="2"/>
        <v>BKH</v>
      </c>
      <c r="D68" s="60" t="str">
        <f t="shared" si="2"/>
        <v>Black Hills Corp.</v>
      </c>
    </row>
    <row r="69" spans="3:4">
      <c r="C69" s="60" t="str">
        <f t="shared" si="2"/>
        <v>CNP</v>
      </c>
      <c r="D69" s="60" t="str">
        <f t="shared" si="2"/>
        <v>CenterPoint Energy</v>
      </c>
    </row>
    <row r="70" spans="3:4">
      <c r="C70" s="60" t="str">
        <f t="shared" si="2"/>
        <v>CMS</v>
      </c>
      <c r="D70" s="60" t="str">
        <f t="shared" si="2"/>
        <v>CMS Energy Corp.</v>
      </c>
    </row>
    <row r="71" spans="3:4">
      <c r="C71" s="60" t="str">
        <f t="shared" si="2"/>
        <v>zzz</v>
      </c>
      <c r="D71" s="60" t="str">
        <f t="shared" si="2"/>
        <v>zzz</v>
      </c>
    </row>
    <row r="72" spans="3:4">
      <c r="C72" s="60" t="str">
        <f t="shared" si="2"/>
        <v>D</v>
      </c>
      <c r="D72" s="60" t="str">
        <f t="shared" si="2"/>
        <v>Dominion Energy</v>
      </c>
    </row>
    <row r="73" spans="3:4">
      <c r="C73" s="60" t="str">
        <f t="shared" si="2"/>
        <v>DTE</v>
      </c>
      <c r="D73" s="60" t="str">
        <f t="shared" si="2"/>
        <v>DTE Energy Co.</v>
      </c>
    </row>
    <row r="74" spans="3:4">
      <c r="C74" s="60" t="str">
        <f t="shared" si="2"/>
        <v>DUK</v>
      </c>
      <c r="D74" s="60" t="str">
        <f t="shared" si="2"/>
        <v>Duke Energy Corp.</v>
      </c>
    </row>
    <row r="75" spans="3:4">
      <c r="C75" s="60" t="str">
        <f t="shared" si="2"/>
        <v>EIX</v>
      </c>
      <c r="D75" s="60" t="str">
        <f t="shared" si="2"/>
        <v>Edison International</v>
      </c>
    </row>
    <row r="76" spans="3:4">
      <c r="C76" s="60" t="str">
        <f t="shared" si="2"/>
        <v>ETR</v>
      </c>
      <c r="D76" s="60" t="str">
        <f t="shared" si="2"/>
        <v>Entergy Corp.</v>
      </c>
    </row>
    <row r="77" spans="3:4">
      <c r="C77" s="60" t="str">
        <f t="shared" si="2"/>
        <v>EVRG</v>
      </c>
      <c r="D77" s="60" t="str">
        <f t="shared" si="2"/>
        <v>Evergy Inc.</v>
      </c>
    </row>
    <row r="78" spans="3:4">
      <c r="C78" s="60" t="str">
        <f t="shared" si="2"/>
        <v>ES</v>
      </c>
      <c r="D78" s="60" t="str">
        <f t="shared" si="2"/>
        <v>Eversource Energy</v>
      </c>
    </row>
    <row r="79" spans="3:4">
      <c r="C79" s="60" t="str">
        <f t="shared" si="2"/>
        <v>zzz</v>
      </c>
      <c r="D79" s="60" t="str">
        <f t="shared" si="2"/>
        <v>zzz</v>
      </c>
    </row>
    <row r="80" spans="3:4">
      <c r="C80" s="60" t="str">
        <f t="shared" si="2"/>
        <v>FE</v>
      </c>
      <c r="D80" s="60" t="str">
        <f t="shared" si="2"/>
        <v>FirstEnergy Corp.</v>
      </c>
    </row>
    <row r="81" spans="3:4">
      <c r="C81" s="60" t="str">
        <f t="shared" si="2"/>
        <v>zzz</v>
      </c>
      <c r="D81" s="60" t="str">
        <f t="shared" si="2"/>
        <v>zzz</v>
      </c>
    </row>
    <row r="82" spans="3:4">
      <c r="C82" s="60" t="str">
        <f t="shared" si="2"/>
        <v>zzz</v>
      </c>
      <c r="D82" s="60" t="str">
        <f t="shared" si="2"/>
        <v>zzz</v>
      </c>
    </row>
    <row r="83" spans="3:4">
      <c r="C83" s="60" t="str">
        <f t="shared" ref="C83:D96" si="3">IF($B28="Y",C28,"zzz")</f>
        <v>IDA</v>
      </c>
      <c r="D83" s="60" t="str">
        <f t="shared" si="3"/>
        <v>IDACORP, Inc.</v>
      </c>
    </row>
    <row r="84" spans="3:4">
      <c r="C84" s="60" t="str">
        <f t="shared" si="3"/>
        <v>zzz</v>
      </c>
      <c r="D84" s="60" t="str">
        <f t="shared" si="3"/>
        <v>zzz</v>
      </c>
    </row>
    <row r="85" spans="3:4">
      <c r="C85" s="60" t="str">
        <f t="shared" si="3"/>
        <v>zzz</v>
      </c>
      <c r="D85" s="60" t="str">
        <f t="shared" si="3"/>
        <v>zzz</v>
      </c>
    </row>
    <row r="86" spans="3:4">
      <c r="C86" s="60" t="str">
        <f t="shared" si="3"/>
        <v>NWE</v>
      </c>
      <c r="D86" s="60" t="str">
        <f t="shared" si="3"/>
        <v>NorthWestern Energy Grp.</v>
      </c>
    </row>
    <row r="87" spans="3:4">
      <c r="C87" s="60" t="str">
        <f t="shared" si="3"/>
        <v>zzz</v>
      </c>
      <c r="D87" s="60" t="str">
        <f t="shared" si="3"/>
        <v>zzz</v>
      </c>
    </row>
    <row r="88" spans="3:4">
      <c r="C88" s="60" t="str">
        <f t="shared" si="3"/>
        <v>OTTR</v>
      </c>
      <c r="D88" s="60" t="str">
        <f t="shared" si="3"/>
        <v>Otter Tail Corp.</v>
      </c>
    </row>
    <row r="89" spans="3:4">
      <c r="C89" s="60" t="str">
        <f t="shared" si="3"/>
        <v>zzz</v>
      </c>
      <c r="D89" s="60" t="str">
        <f t="shared" si="3"/>
        <v>zzz</v>
      </c>
    </row>
    <row r="90" spans="3:4">
      <c r="C90" s="60" t="str">
        <f t="shared" si="3"/>
        <v>PNW</v>
      </c>
      <c r="D90" s="60" t="str">
        <f t="shared" si="3"/>
        <v>Pinnacle West Capital</v>
      </c>
    </row>
    <row r="91" spans="3:4">
      <c r="C91" s="60" t="str">
        <f t="shared" si="3"/>
        <v>zzz</v>
      </c>
      <c r="D91" s="60" t="str">
        <f t="shared" si="3"/>
        <v>zzz</v>
      </c>
    </row>
    <row r="92" spans="3:4">
      <c r="C92" s="60" t="str">
        <f t="shared" si="3"/>
        <v>zzz</v>
      </c>
      <c r="D92" s="60" t="str">
        <f t="shared" si="3"/>
        <v>zzz</v>
      </c>
    </row>
    <row r="93" spans="3:4">
      <c r="C93" s="60" t="str">
        <f t="shared" si="3"/>
        <v>PEG</v>
      </c>
      <c r="D93" s="60" t="str">
        <f t="shared" si="3"/>
        <v>Pub Sv Enterprise Grp.</v>
      </c>
    </row>
    <row r="94" spans="3:4">
      <c r="C94" s="60" t="str">
        <f t="shared" si="3"/>
        <v>SRE</v>
      </c>
      <c r="D94" s="60" t="str">
        <f t="shared" si="3"/>
        <v>Sempra</v>
      </c>
    </row>
    <row r="95" spans="3:4">
      <c r="C95" s="60" t="str">
        <f t="shared" si="3"/>
        <v>zzz</v>
      </c>
      <c r="D95" s="60" t="str">
        <f t="shared" si="3"/>
        <v>zzz</v>
      </c>
    </row>
    <row r="96" spans="3:4">
      <c r="C96" s="60" t="str">
        <f t="shared" si="3"/>
        <v>zzz</v>
      </c>
      <c r="D96" s="60" t="str">
        <f t="shared" si="3"/>
        <v>zzz</v>
      </c>
    </row>
    <row r="97" spans="3:4">
      <c r="C97" s="60" t="str">
        <f t="shared" ref="C97:D97" si="4">IF($B42="Y",C42,"zzz")</f>
        <v>zzz</v>
      </c>
      <c r="D97" s="60" t="str">
        <f t="shared" si="4"/>
        <v>zzz</v>
      </c>
    </row>
    <row r="98" spans="3:4">
      <c r="C98" s="60" t="str">
        <f t="shared" ref="C98:D98" si="5">IF($B43="Y",C43,"zzz")</f>
        <v>zzz</v>
      </c>
      <c r="D98" s="60" t="str">
        <f t="shared" si="5"/>
        <v>zzz</v>
      </c>
    </row>
    <row r="99" spans="3:4">
      <c r="C99" s="60" t="str">
        <f t="shared" ref="C99:D99" si="6">IF($B44="Y",C44,"zzz")</f>
        <v>zzz</v>
      </c>
      <c r="D99" s="60" t="str">
        <f t="shared" si="6"/>
        <v>zzz</v>
      </c>
    </row>
  </sheetData>
  <mergeCells count="2">
    <mergeCell ref="L4:P4"/>
    <mergeCell ref="L5:P5"/>
  </mergeCells>
  <conditionalFormatting sqref="C63:D99">
    <cfRule type="cellIs" dxfId="77" priority="183" operator="equal">
      <formula>"""zzz"""</formula>
    </cfRule>
  </conditionalFormatting>
  <conditionalFormatting sqref="B8:B43 C63:D99">
    <cfRule type="cellIs" dxfId="76" priority="181" operator="equal">
      <formula>"""zzz"""</formula>
    </cfRule>
  </conditionalFormatting>
  <conditionalFormatting sqref="C63:D99">
    <cfRule type="cellIs" dxfId="75" priority="179" operator="equal">
      <formula>"zzz"</formula>
    </cfRule>
    <cfRule type="cellIs" dxfId="74" priority="180" operator="equal">
      <formula>"""zzz"""</formula>
    </cfRule>
  </conditionalFormatting>
  <conditionalFormatting sqref="N8:N43">
    <cfRule type="expression" dxfId="73" priority="475">
      <formula>#REF!&lt;#REF!</formula>
    </cfRule>
    <cfRule type="expression" dxfId="72" priority="476">
      <formula>#REF!&gt;#REF!</formula>
    </cfRule>
  </conditionalFormatting>
  <conditionalFormatting sqref="L8:L43">
    <cfRule type="cellIs" dxfId="71" priority="481" operator="greaterThan">
      <formula>$L$53</formula>
    </cfRule>
  </conditionalFormatting>
  <conditionalFormatting sqref="L8:L43">
    <cfRule type="cellIs" dxfId="70" priority="483" operator="lessThan">
      <formula>$L$54</formula>
    </cfRule>
  </conditionalFormatting>
  <conditionalFormatting sqref="I8:I43">
    <cfRule type="expression" dxfId="69" priority="485">
      <formula>J8&lt;$J$54</formula>
    </cfRule>
    <cfRule type="expression" dxfId="68" priority="486">
      <formula>J8&gt;$J$53</formula>
    </cfRule>
  </conditionalFormatting>
  <conditionalFormatting sqref="F8:F43">
    <cfRule type="expression" dxfId="67" priority="489">
      <formula>$G8&gt;$G$53</formula>
    </cfRule>
    <cfRule type="expression" dxfId="66" priority="490">
      <formula>$G8&lt;$G$54</formula>
    </cfRule>
  </conditionalFormatting>
  <conditionalFormatting sqref="W18 W33:W37 W15:W16 W41:W43 W9:W13 W20:W31">
    <cfRule type="expression" dxfId="65" priority="15">
      <formula>V9="X"</formula>
    </cfRule>
  </conditionalFormatting>
  <conditionalFormatting sqref="W18 W33:W37 W15:W16 W41:W43 W9:W13">
    <cfRule type="expression" dxfId="64" priority="14">
      <formula>V9="X"</formula>
    </cfRule>
  </conditionalFormatting>
  <conditionalFormatting sqref="W32">
    <cfRule type="expression" dxfId="63" priority="13">
      <formula>V32="X"</formula>
    </cfRule>
  </conditionalFormatting>
  <conditionalFormatting sqref="W32">
    <cfRule type="expression" dxfId="62" priority="12">
      <formula>V32="X"</formula>
    </cfRule>
  </conditionalFormatting>
  <conditionalFormatting sqref="W38">
    <cfRule type="expression" dxfId="61" priority="11">
      <formula>V38="X"</formula>
    </cfRule>
  </conditionalFormatting>
  <conditionalFormatting sqref="W38">
    <cfRule type="expression" dxfId="60" priority="10">
      <formula>V38="X"</formula>
    </cfRule>
  </conditionalFormatting>
  <conditionalFormatting sqref="W40">
    <cfRule type="expression" dxfId="59" priority="9">
      <formula>V40="X"</formula>
    </cfRule>
  </conditionalFormatting>
  <conditionalFormatting sqref="W40">
    <cfRule type="expression" dxfId="58" priority="8">
      <formula>V40="X"</formula>
    </cfRule>
  </conditionalFormatting>
  <conditionalFormatting sqref="W17">
    <cfRule type="expression" dxfId="57" priority="7">
      <formula>V17="X"</formula>
    </cfRule>
  </conditionalFormatting>
  <conditionalFormatting sqref="W17">
    <cfRule type="expression" dxfId="56" priority="6">
      <formula>V17="X"</formula>
    </cfRule>
  </conditionalFormatting>
  <conditionalFormatting sqref="W19">
    <cfRule type="expression" dxfId="55" priority="5">
      <formula>V18="X"</formula>
    </cfRule>
  </conditionalFormatting>
  <conditionalFormatting sqref="W39">
    <cfRule type="expression" dxfId="54" priority="4">
      <formula>V39="X"</formula>
    </cfRule>
  </conditionalFormatting>
  <conditionalFormatting sqref="W39">
    <cfRule type="expression" dxfId="53" priority="3">
      <formula>V39="X"</formula>
    </cfRule>
  </conditionalFormatting>
  <conditionalFormatting sqref="W14">
    <cfRule type="expression" dxfId="52" priority="2">
      <formula>V14="X"</formula>
    </cfRule>
  </conditionalFormatting>
  <conditionalFormatting sqref="W14">
    <cfRule type="expression" dxfId="51" priority="1">
      <formula>V14="X"</formula>
    </cfRule>
  </conditionalFormatting>
  <printOptions horizontalCentered="1"/>
  <pageMargins left="0.5" right="0.5" top="0.5" bottom="0.25" header="0" footer="0"/>
  <pageSetup scale="56"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pageSetUpPr fitToPage="1"/>
  </sheetPr>
  <dimension ref="A1:C38"/>
  <sheetViews>
    <sheetView workbookViewId="0"/>
  </sheetViews>
  <sheetFormatPr defaultColWidth="9.26953125" defaultRowHeight="15.5"/>
  <cols>
    <col min="1" max="1" width="3.54296875" style="1" customWidth="1"/>
    <col min="2" max="2" width="9.26953125" style="1" customWidth="1"/>
    <col min="3" max="3" width="23.26953125" style="1" customWidth="1"/>
    <col min="4" max="16384" width="9.26953125" style="1"/>
  </cols>
  <sheetData>
    <row r="1" spans="1:3" ht="46" customHeight="1"/>
    <row r="2" spans="1:3" s="12" customFormat="1">
      <c r="B2" s="62" t="s">
        <v>77</v>
      </c>
      <c r="C2" s="61" t="s">
        <v>78</v>
      </c>
    </row>
    <row r="3" spans="1:3">
      <c r="A3" s="19">
        <f>A2+1</f>
        <v>1</v>
      </c>
      <c r="B3" s="60" t="str">
        <f>'Proxy Group Criteria'!C64</f>
        <v>LNT</v>
      </c>
      <c r="C3" s="60" t="str">
        <f>'Proxy Group Criteria'!D64</f>
        <v>Alliant Energy</v>
      </c>
    </row>
    <row r="4" spans="1:3">
      <c r="A4" s="19">
        <f t="shared" ref="A4:A38" si="0">A3+1</f>
        <v>2</v>
      </c>
      <c r="B4" s="60" t="str">
        <f>'Proxy Group Criteria'!C66</f>
        <v>AEP</v>
      </c>
      <c r="C4" s="60" t="str">
        <f>'Proxy Group Criteria'!D66</f>
        <v>American Elec Pwr</v>
      </c>
    </row>
    <row r="5" spans="1:3">
      <c r="A5" s="19">
        <f t="shared" si="0"/>
        <v>3</v>
      </c>
      <c r="B5" s="60" t="str">
        <f>'Proxy Group Criteria'!C67</f>
        <v>AVA</v>
      </c>
      <c r="C5" s="60" t="str">
        <f>'Proxy Group Criteria'!D67</f>
        <v>Avista Corp.</v>
      </c>
    </row>
    <row r="6" spans="1:3">
      <c r="A6" s="19">
        <f t="shared" si="0"/>
        <v>4</v>
      </c>
      <c r="B6" s="60" t="str">
        <f>'Proxy Group Criteria'!C68</f>
        <v>BKH</v>
      </c>
      <c r="C6" s="60" t="str">
        <f>'Proxy Group Criteria'!D68</f>
        <v>Black Hills Corp.</v>
      </c>
    </row>
    <row r="7" spans="1:3">
      <c r="A7" s="19">
        <f t="shared" si="0"/>
        <v>5</v>
      </c>
      <c r="B7" s="60" t="str">
        <f>'Proxy Group Criteria'!C69</f>
        <v>CNP</v>
      </c>
      <c r="C7" s="60" t="str">
        <f>'Proxy Group Criteria'!D69</f>
        <v>CenterPoint Energy</v>
      </c>
    </row>
    <row r="8" spans="1:3">
      <c r="A8" s="19">
        <f t="shared" si="0"/>
        <v>6</v>
      </c>
      <c r="B8" s="60" t="str">
        <f>'Proxy Group Criteria'!C70</f>
        <v>CMS</v>
      </c>
      <c r="C8" s="60" t="str">
        <f>'Proxy Group Criteria'!D70</f>
        <v>CMS Energy Corp.</v>
      </c>
    </row>
    <row r="9" spans="1:3">
      <c r="A9" s="19">
        <f t="shared" si="0"/>
        <v>7</v>
      </c>
      <c r="B9" s="60" t="str">
        <f>'Proxy Group Criteria'!C72</f>
        <v>D</v>
      </c>
      <c r="C9" s="60" t="str">
        <f>'Proxy Group Criteria'!D72</f>
        <v>Dominion Energy</v>
      </c>
    </row>
    <row r="10" spans="1:3">
      <c r="A10" s="19">
        <f t="shared" si="0"/>
        <v>8</v>
      </c>
      <c r="B10" s="60" t="str">
        <f>'Proxy Group Criteria'!C73</f>
        <v>DTE</v>
      </c>
      <c r="C10" s="60" t="str">
        <f>'Proxy Group Criteria'!D73</f>
        <v>DTE Energy Co.</v>
      </c>
    </row>
    <row r="11" spans="1:3">
      <c r="A11" s="19">
        <f t="shared" si="0"/>
        <v>9</v>
      </c>
      <c r="B11" s="60" t="str">
        <f>'Proxy Group Criteria'!C74</f>
        <v>DUK</v>
      </c>
      <c r="C11" s="60" t="str">
        <f>'Proxy Group Criteria'!D74</f>
        <v>Duke Energy Corp.</v>
      </c>
    </row>
    <row r="12" spans="1:3">
      <c r="A12" s="19">
        <f t="shared" si="0"/>
        <v>10</v>
      </c>
      <c r="B12" s="60" t="str">
        <f>'Proxy Group Criteria'!C75</f>
        <v>EIX</v>
      </c>
      <c r="C12" s="60" t="str">
        <f>'Proxy Group Criteria'!D75</f>
        <v>Edison International</v>
      </c>
    </row>
    <row r="13" spans="1:3">
      <c r="A13" s="19">
        <f t="shared" si="0"/>
        <v>11</v>
      </c>
      <c r="B13" s="60" t="str">
        <f>'Proxy Group Criteria'!C76</f>
        <v>ETR</v>
      </c>
      <c r="C13" s="60" t="str">
        <f>'Proxy Group Criteria'!D76</f>
        <v>Entergy Corp.</v>
      </c>
    </row>
    <row r="14" spans="1:3">
      <c r="A14" s="19">
        <f t="shared" si="0"/>
        <v>12</v>
      </c>
      <c r="B14" s="60" t="str">
        <f>'Proxy Group Criteria'!C77</f>
        <v>EVRG</v>
      </c>
      <c r="C14" s="60" t="str">
        <f>'Proxy Group Criteria'!D77</f>
        <v>Evergy Inc.</v>
      </c>
    </row>
    <row r="15" spans="1:3">
      <c r="A15" s="19">
        <f t="shared" si="0"/>
        <v>13</v>
      </c>
      <c r="B15" s="60" t="str">
        <f>'Proxy Group Criteria'!C78</f>
        <v>ES</v>
      </c>
      <c r="C15" s="60" t="str">
        <f>'Proxy Group Criteria'!D78</f>
        <v>Eversource Energy</v>
      </c>
    </row>
    <row r="16" spans="1:3">
      <c r="A16" s="19">
        <f t="shared" si="0"/>
        <v>14</v>
      </c>
      <c r="B16" s="60" t="str">
        <f>'Proxy Group Criteria'!C80</f>
        <v>FE</v>
      </c>
      <c r="C16" s="60" t="str">
        <f>'Proxy Group Criteria'!D80</f>
        <v>FirstEnergy Corp.</v>
      </c>
    </row>
    <row r="17" spans="1:3">
      <c r="A17" s="19">
        <f t="shared" si="0"/>
        <v>15</v>
      </c>
      <c r="B17" s="60" t="str">
        <f>'Proxy Group Criteria'!C83</f>
        <v>IDA</v>
      </c>
      <c r="C17" s="60" t="str">
        <f>'Proxy Group Criteria'!D83</f>
        <v>IDACORP, Inc.</v>
      </c>
    </row>
    <row r="18" spans="1:3">
      <c r="A18" s="19">
        <f t="shared" si="0"/>
        <v>16</v>
      </c>
      <c r="B18" s="60" t="str">
        <f>'Proxy Group Criteria'!C86</f>
        <v>NWE</v>
      </c>
      <c r="C18" s="60" t="str">
        <f>'Proxy Group Criteria'!D86</f>
        <v>NorthWestern Energy Grp.</v>
      </c>
    </row>
    <row r="19" spans="1:3">
      <c r="A19" s="19">
        <f t="shared" si="0"/>
        <v>17</v>
      </c>
      <c r="B19" s="60" t="str">
        <f>'Proxy Group Criteria'!C88</f>
        <v>OTTR</v>
      </c>
      <c r="C19" s="60" t="str">
        <f>'Proxy Group Criteria'!D88</f>
        <v>Otter Tail Corp.</v>
      </c>
    </row>
    <row r="20" spans="1:3">
      <c r="A20" s="19">
        <f t="shared" si="0"/>
        <v>18</v>
      </c>
      <c r="B20" s="60" t="str">
        <f>'Proxy Group Criteria'!C90</f>
        <v>PNW</v>
      </c>
      <c r="C20" s="60" t="str">
        <f>'Proxy Group Criteria'!D90</f>
        <v>Pinnacle West Capital</v>
      </c>
    </row>
    <row r="21" spans="1:3">
      <c r="A21" s="19">
        <f t="shared" si="0"/>
        <v>19</v>
      </c>
      <c r="B21" s="60" t="str">
        <f>'Proxy Group Criteria'!C93</f>
        <v>PEG</v>
      </c>
      <c r="C21" s="60" t="str">
        <f>'Proxy Group Criteria'!D93</f>
        <v>Pub Sv Enterprise Grp.</v>
      </c>
    </row>
    <row r="22" spans="1:3">
      <c r="A22" s="19">
        <f t="shared" si="0"/>
        <v>20</v>
      </c>
      <c r="B22" s="60" t="str">
        <f>'Proxy Group Criteria'!C94</f>
        <v>SRE</v>
      </c>
      <c r="C22" s="60" t="str">
        <f>'Proxy Group Criteria'!D94</f>
        <v>Sempra</v>
      </c>
    </row>
    <row r="23" spans="1:3">
      <c r="A23" s="19">
        <f t="shared" si="0"/>
        <v>21</v>
      </c>
      <c r="B23" s="60" t="str">
        <f>'Proxy Group Criteria'!C65</f>
        <v>zzz</v>
      </c>
      <c r="C23" s="60" t="str">
        <f>'Proxy Group Criteria'!D65</f>
        <v>zzz</v>
      </c>
    </row>
    <row r="24" spans="1:3">
      <c r="A24" s="19">
        <f t="shared" si="0"/>
        <v>22</v>
      </c>
      <c r="B24" s="60" t="str">
        <f>'Proxy Group Criteria'!C71</f>
        <v>zzz</v>
      </c>
      <c r="C24" s="60" t="str">
        <f>'Proxy Group Criteria'!D71</f>
        <v>zzz</v>
      </c>
    </row>
    <row r="25" spans="1:3">
      <c r="A25" s="19">
        <f t="shared" si="0"/>
        <v>23</v>
      </c>
      <c r="B25" s="60" t="str">
        <f>'Proxy Group Criteria'!C79</f>
        <v>zzz</v>
      </c>
      <c r="C25" s="60" t="str">
        <f>'Proxy Group Criteria'!D79</f>
        <v>zzz</v>
      </c>
    </row>
    <row r="26" spans="1:3">
      <c r="A26" s="19">
        <f t="shared" si="0"/>
        <v>24</v>
      </c>
      <c r="B26" s="60" t="str">
        <f>'Proxy Group Criteria'!C85</f>
        <v>zzz</v>
      </c>
      <c r="C26" s="60" t="str">
        <f>'Proxy Group Criteria'!D85</f>
        <v>zzz</v>
      </c>
    </row>
    <row r="27" spans="1:3">
      <c r="A27" s="19">
        <f t="shared" si="0"/>
        <v>25</v>
      </c>
      <c r="B27" s="60" t="str">
        <f>'Proxy Group Criteria'!C91</f>
        <v>zzz</v>
      </c>
      <c r="C27" s="60" t="str">
        <f>'Proxy Group Criteria'!D91</f>
        <v>zzz</v>
      </c>
    </row>
    <row r="28" spans="1:3">
      <c r="A28" s="19">
        <f t="shared" si="0"/>
        <v>26</v>
      </c>
      <c r="B28" s="60" t="str">
        <f>'Proxy Group Criteria'!C92</f>
        <v>zzz</v>
      </c>
      <c r="C28" s="60" t="str">
        <f>'Proxy Group Criteria'!D92</f>
        <v>zzz</v>
      </c>
    </row>
    <row r="29" spans="1:3">
      <c r="A29" s="19">
        <f t="shared" si="0"/>
        <v>27</v>
      </c>
      <c r="B29" s="60" t="str">
        <f>'Proxy Group Criteria'!C95</f>
        <v>zzz</v>
      </c>
      <c r="C29" s="60" t="str">
        <f>'Proxy Group Criteria'!D95</f>
        <v>zzz</v>
      </c>
    </row>
    <row r="30" spans="1:3">
      <c r="A30" s="19">
        <f t="shared" si="0"/>
        <v>28</v>
      </c>
      <c r="B30" s="60" t="str">
        <f>'Proxy Group Criteria'!C97</f>
        <v>zzz</v>
      </c>
      <c r="C30" s="60" t="str">
        <f>'Proxy Group Criteria'!D97</f>
        <v>zzz</v>
      </c>
    </row>
    <row r="31" spans="1:3">
      <c r="A31" s="19">
        <f t="shared" si="0"/>
        <v>29</v>
      </c>
      <c r="B31" s="60" t="str">
        <f>'Proxy Group Criteria'!C98</f>
        <v>zzz</v>
      </c>
      <c r="C31" s="60" t="str">
        <f>'Proxy Group Criteria'!D98</f>
        <v>zzz</v>
      </c>
    </row>
    <row r="32" spans="1:3">
      <c r="A32" s="19">
        <f t="shared" si="0"/>
        <v>30</v>
      </c>
      <c r="B32" s="60" t="str">
        <f>'Proxy Group Criteria'!C81</f>
        <v>zzz</v>
      </c>
      <c r="C32" s="60" t="str">
        <f>'Proxy Group Criteria'!D81</f>
        <v>zzz</v>
      </c>
    </row>
    <row r="33" spans="1:3">
      <c r="A33" s="19">
        <f t="shared" si="0"/>
        <v>31</v>
      </c>
      <c r="B33" s="60" t="str">
        <f>'Proxy Group Criteria'!C82</f>
        <v>zzz</v>
      </c>
      <c r="C33" s="60" t="str">
        <f>'Proxy Group Criteria'!D82</f>
        <v>zzz</v>
      </c>
    </row>
    <row r="34" spans="1:3">
      <c r="A34" s="19">
        <f t="shared" si="0"/>
        <v>32</v>
      </c>
      <c r="B34" s="60" t="str">
        <f>'Proxy Group Criteria'!C84</f>
        <v>zzz</v>
      </c>
      <c r="C34" s="60" t="str">
        <f>'Proxy Group Criteria'!D84</f>
        <v>zzz</v>
      </c>
    </row>
    <row r="35" spans="1:3">
      <c r="A35" s="19">
        <f t="shared" si="0"/>
        <v>33</v>
      </c>
      <c r="B35" s="60" t="str">
        <f>'Proxy Group Criteria'!C89</f>
        <v>zzz</v>
      </c>
      <c r="C35" s="60" t="str">
        <f>'Proxy Group Criteria'!D89</f>
        <v>zzz</v>
      </c>
    </row>
    <row r="36" spans="1:3">
      <c r="A36" s="19">
        <f t="shared" si="0"/>
        <v>34</v>
      </c>
      <c r="B36" s="60" t="str">
        <f>'Proxy Group Criteria'!C96</f>
        <v>zzz</v>
      </c>
      <c r="C36" s="60" t="str">
        <f>'Proxy Group Criteria'!D96</f>
        <v>zzz</v>
      </c>
    </row>
    <row r="37" spans="1:3">
      <c r="A37" s="19">
        <f t="shared" si="0"/>
        <v>35</v>
      </c>
      <c r="B37" s="60" t="str">
        <f>'Proxy Group Criteria'!C63</f>
        <v>zzz</v>
      </c>
      <c r="C37" s="60" t="str">
        <f>'Proxy Group Criteria'!D63</f>
        <v>zzz</v>
      </c>
    </row>
    <row r="38" spans="1:3">
      <c r="A38" s="19">
        <f t="shared" si="0"/>
        <v>36</v>
      </c>
      <c r="B38" s="60" t="str">
        <f>'Proxy Group Criteria'!C87</f>
        <v>zzz</v>
      </c>
      <c r="C38" s="60" t="str">
        <f>'Proxy Group Criteria'!D87</f>
        <v>zzz</v>
      </c>
    </row>
  </sheetData>
  <sortState xmlns:xlrd2="http://schemas.microsoft.com/office/spreadsheetml/2017/richdata2" ref="B3:C41">
    <sortCondition ref="C8:C50"/>
  </sortState>
  <phoneticPr fontId="0" type="noConversion"/>
  <conditionalFormatting sqref="C2">
    <cfRule type="cellIs" dxfId="50" priority="1" operator="equal">
      <formula>"""zzz"""</formula>
    </cfRule>
  </conditionalFormatting>
  <conditionalFormatting sqref="B3:C38">
    <cfRule type="cellIs" dxfId="49" priority="13" operator="equal">
      <formula>"""zzz"""</formula>
    </cfRule>
  </conditionalFormatting>
  <conditionalFormatting sqref="B3:C38">
    <cfRule type="cellIs" dxfId="48" priority="12" operator="equal">
      <formula>"""zzz"""</formula>
    </cfRule>
  </conditionalFormatting>
  <conditionalFormatting sqref="B3:C38">
    <cfRule type="cellIs" dxfId="47" priority="10" operator="equal">
      <formula>"zzz"</formula>
    </cfRule>
    <cfRule type="cellIs" dxfId="46" priority="11" operator="equal">
      <formula>"""zzz"""</formula>
    </cfRule>
  </conditionalFormatting>
  <printOptions horizontalCentered="1"/>
  <pageMargins left="0.5" right="0.5" top="0.75" bottom="0.25" header="0" footer="0"/>
  <pageSetup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339" r:id="rId4" name="Button 3">
              <controlPr defaultSize="0" print="0" autoFill="0" autoPict="0" macro="[0]!Macro1">
                <anchor moveWithCells="1" sizeWithCells="1">
                  <from>
                    <xdr:col>1</xdr:col>
                    <xdr:colOff>69850</xdr:colOff>
                    <xdr:row>0</xdr:row>
                    <xdr:rowOff>38100</xdr:rowOff>
                  </from>
                  <to>
                    <xdr:col>2</xdr:col>
                    <xdr:colOff>107950</xdr:colOff>
                    <xdr:row>0</xdr:row>
                    <xdr:rowOff>374650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pageSetUpPr fitToPage="1"/>
  </sheetPr>
  <dimension ref="A1:D21"/>
  <sheetViews>
    <sheetView workbookViewId="0"/>
  </sheetViews>
  <sheetFormatPr defaultColWidth="9.26953125" defaultRowHeight="15.5"/>
  <cols>
    <col min="1" max="1" width="11" style="1" customWidth="1"/>
    <col min="2" max="2" width="37.453125" style="1" customWidth="1"/>
    <col min="3" max="3" width="41.81640625" style="1" customWidth="1"/>
    <col min="4" max="4" width="47.7265625" style="1" customWidth="1"/>
    <col min="5" max="16384" width="9.26953125" style="1"/>
  </cols>
  <sheetData>
    <row r="1" spans="1:4" s="3" customFormat="1" ht="15">
      <c r="A1" s="3" t="s">
        <v>101</v>
      </c>
      <c r="B1" s="3" t="s">
        <v>102</v>
      </c>
      <c r="C1" s="3" t="s">
        <v>103</v>
      </c>
      <c r="D1" s="3" t="s">
        <v>104</v>
      </c>
    </row>
    <row r="2" spans="1:4" s="3" customFormat="1">
      <c r="A2" s="19">
        <v>2</v>
      </c>
      <c r="B2" s="1" t="s">
        <v>1495</v>
      </c>
      <c r="C2" s="1" t="s">
        <v>105</v>
      </c>
      <c r="D2" s="1" t="s">
        <v>94</v>
      </c>
    </row>
    <row r="3" spans="1:4" s="3" customFormat="1">
      <c r="A3" s="19" t="s">
        <v>1490</v>
      </c>
      <c r="B3" s="1" t="s">
        <v>1496</v>
      </c>
      <c r="C3" s="1" t="s">
        <v>106</v>
      </c>
      <c r="D3" s="1" t="s">
        <v>107</v>
      </c>
    </row>
    <row r="4" spans="1:4" s="3" customFormat="1">
      <c r="A4" s="19" t="s">
        <v>1491</v>
      </c>
      <c r="B4" s="1" t="s">
        <v>1496</v>
      </c>
      <c r="C4" s="1" t="s">
        <v>106</v>
      </c>
      <c r="D4" s="1" t="s">
        <v>107</v>
      </c>
    </row>
    <row r="5" spans="1:4" s="3" customFormat="1">
      <c r="A5" s="19" t="s">
        <v>1492</v>
      </c>
      <c r="B5" s="1" t="s">
        <v>1496</v>
      </c>
      <c r="C5" s="1" t="s">
        <v>106</v>
      </c>
      <c r="D5" s="1" t="s">
        <v>107</v>
      </c>
    </row>
    <row r="6" spans="1:4">
      <c r="A6" s="19" t="s">
        <v>1591</v>
      </c>
      <c r="B6" s="1" t="s">
        <v>1497</v>
      </c>
      <c r="C6" s="1" t="s">
        <v>119</v>
      </c>
      <c r="D6" s="1" t="s">
        <v>120</v>
      </c>
    </row>
    <row r="7" spans="1:4">
      <c r="A7" s="19" t="s">
        <v>1493</v>
      </c>
      <c r="B7" s="1" t="s">
        <v>1497</v>
      </c>
      <c r="C7" s="1" t="s">
        <v>119</v>
      </c>
      <c r="D7" s="1" t="s">
        <v>107</v>
      </c>
    </row>
    <row r="8" spans="1:4" s="3" customFormat="1">
      <c r="A8" s="19" t="s">
        <v>1592</v>
      </c>
      <c r="B8" s="1" t="s">
        <v>1498</v>
      </c>
      <c r="C8" s="1" t="s">
        <v>108</v>
      </c>
      <c r="D8" s="1" t="s">
        <v>109</v>
      </c>
    </row>
    <row r="9" spans="1:4">
      <c r="A9" s="19" t="s">
        <v>1593</v>
      </c>
      <c r="B9" s="1" t="s">
        <v>1498</v>
      </c>
      <c r="C9" s="1" t="s">
        <v>108</v>
      </c>
      <c r="D9" s="1" t="s">
        <v>110</v>
      </c>
    </row>
    <row r="10" spans="1:4">
      <c r="A10" s="19" t="s">
        <v>1594</v>
      </c>
      <c r="B10" s="1" t="s">
        <v>1498</v>
      </c>
      <c r="C10" s="1" t="s">
        <v>108</v>
      </c>
      <c r="D10" s="1" t="s">
        <v>111</v>
      </c>
    </row>
    <row r="11" spans="1:4">
      <c r="A11" s="19">
        <v>6</v>
      </c>
      <c r="B11" s="1" t="s">
        <v>1499</v>
      </c>
      <c r="C11" s="1" t="s">
        <v>112</v>
      </c>
      <c r="D11" s="1" t="s">
        <v>107</v>
      </c>
    </row>
    <row r="12" spans="1:4">
      <c r="A12" s="19">
        <v>7</v>
      </c>
      <c r="B12" s="1" t="s">
        <v>1500</v>
      </c>
      <c r="C12" s="1" t="s">
        <v>99</v>
      </c>
      <c r="D12" s="1" t="s">
        <v>107</v>
      </c>
    </row>
    <row r="13" spans="1:4">
      <c r="A13" s="19">
        <v>8</v>
      </c>
      <c r="B13" s="1" t="s">
        <v>1501</v>
      </c>
      <c r="C13" s="1" t="s">
        <v>1485</v>
      </c>
      <c r="D13" s="1" t="s">
        <v>107</v>
      </c>
    </row>
    <row r="14" spans="1:4">
      <c r="A14" s="19" t="s">
        <v>1595</v>
      </c>
      <c r="B14" s="1" t="s">
        <v>1502</v>
      </c>
      <c r="C14" s="1" t="s">
        <v>113</v>
      </c>
      <c r="D14" s="1" t="s">
        <v>114</v>
      </c>
    </row>
    <row r="15" spans="1:4">
      <c r="A15" s="19" t="s">
        <v>1596</v>
      </c>
      <c r="B15" s="1" t="s">
        <v>1502</v>
      </c>
      <c r="C15" s="1" t="s">
        <v>113</v>
      </c>
      <c r="D15" s="1" t="s">
        <v>115</v>
      </c>
    </row>
    <row r="16" spans="1:4">
      <c r="A16" s="19" t="s">
        <v>1597</v>
      </c>
      <c r="B16" s="1" t="s">
        <v>1502</v>
      </c>
      <c r="C16" s="1" t="s">
        <v>113</v>
      </c>
      <c r="D16" s="1" t="s">
        <v>116</v>
      </c>
    </row>
    <row r="17" spans="1:4">
      <c r="A17" s="19">
        <v>10</v>
      </c>
      <c r="B17" s="1" t="s">
        <v>1503</v>
      </c>
      <c r="C17" s="1" t="s">
        <v>1494</v>
      </c>
      <c r="D17" s="1" t="s">
        <v>107</v>
      </c>
    </row>
    <row r="18" spans="1:4">
      <c r="A18" s="19">
        <v>11</v>
      </c>
      <c r="B18" s="1" t="s">
        <v>1504</v>
      </c>
      <c r="C18" s="1" t="s">
        <v>1983</v>
      </c>
      <c r="D18" s="1" t="s">
        <v>1984</v>
      </c>
    </row>
    <row r="19" spans="1:4">
      <c r="A19" s="1" t="s">
        <v>1986</v>
      </c>
      <c r="B19" s="1" t="s">
        <v>1985</v>
      </c>
      <c r="C19" s="1" t="s">
        <v>117</v>
      </c>
      <c r="D19" s="1" t="s">
        <v>109</v>
      </c>
    </row>
    <row r="20" spans="1:4">
      <c r="A20" s="1" t="s">
        <v>1987</v>
      </c>
      <c r="B20" s="1" t="s">
        <v>1985</v>
      </c>
      <c r="C20" s="1" t="s">
        <v>117</v>
      </c>
      <c r="D20" s="1" t="s">
        <v>110</v>
      </c>
    </row>
    <row r="21" spans="1:4">
      <c r="A21" s="19" t="s">
        <v>1988</v>
      </c>
      <c r="B21" s="1" t="s">
        <v>1985</v>
      </c>
      <c r="C21" s="1" t="s">
        <v>117</v>
      </c>
      <c r="D21" s="1" t="s">
        <v>118</v>
      </c>
    </row>
  </sheetData>
  <phoneticPr fontId="0" type="noConversion"/>
  <printOptions horizontalCentered="1"/>
  <pageMargins left="0.5" right="0.5" top="0.75" bottom="0.25" header="0" footer="0"/>
  <pageSetup orientation="landscape"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135B3-2825-4283-9769-BCC065E184B9}">
  <sheetPr codeName="Sheet31"/>
  <dimension ref="A1:W37"/>
  <sheetViews>
    <sheetView showGridLines="0" view="pageBreakPreview" zoomScaleNormal="100" zoomScaleSheetLayoutView="100" workbookViewId="0"/>
  </sheetViews>
  <sheetFormatPr defaultColWidth="9.26953125" defaultRowHeight="15.5"/>
  <cols>
    <col min="1" max="1" width="3.7265625" style="4" customWidth="1"/>
    <col min="2" max="2" width="1.7265625" style="4" customWidth="1"/>
    <col min="3" max="3" width="2.453125" style="7" customWidth="1"/>
    <col min="4" max="4" width="47.1796875" style="4" customWidth="1"/>
    <col min="5" max="5" width="8.1796875" style="180" customWidth="1"/>
    <col min="6" max="6" width="4.1796875" style="180" customWidth="1"/>
    <col min="7" max="7" width="7.7265625" style="180" customWidth="1"/>
    <col min="8" max="8" width="5.7265625" style="187" customWidth="1"/>
    <col min="9" max="9" width="3.7265625" style="4" customWidth="1"/>
    <col min="10" max="10" width="5" style="4" customWidth="1"/>
    <col min="11" max="11" width="9.26953125" style="4" customWidth="1"/>
    <col min="12" max="12" width="13.453125" style="4" customWidth="1"/>
    <col min="13" max="13" width="4.26953125" style="4" customWidth="1"/>
    <col min="14" max="14" width="7.54296875" style="4" customWidth="1"/>
    <col min="15" max="15" width="2.7265625" style="4" customWidth="1"/>
    <col min="16" max="16" width="7.54296875" style="4" customWidth="1"/>
    <col min="17" max="17" width="1.7265625" style="4" customWidth="1"/>
    <col min="18" max="18" width="9.26953125" style="4"/>
    <col min="19" max="19" width="13.453125" style="4" customWidth="1"/>
    <col min="20" max="20" width="5.26953125" style="4" customWidth="1"/>
    <col min="21" max="21" width="7.54296875" style="4" customWidth="1"/>
    <col min="22" max="22" width="2.7265625" style="4" customWidth="1"/>
    <col min="23" max="23" width="7.54296875" style="4" customWidth="1"/>
    <col min="24" max="24" width="1.7265625" style="4" customWidth="1"/>
    <col min="25" max="16384" width="9.26953125" style="4"/>
  </cols>
  <sheetData>
    <row r="1" spans="1:12">
      <c r="A1" s="7" t="str">
        <f>'Exhibit List'!C2</f>
        <v>ROE ANALYSIS</v>
      </c>
      <c r="C1" s="4"/>
      <c r="E1" s="187"/>
      <c r="F1" s="4"/>
      <c r="G1" s="4"/>
      <c r="I1" s="188" t="str">
        <f>'Exhibit List'!B2</f>
        <v>Exhibit AMM-2</v>
      </c>
    </row>
    <row r="2" spans="1:12">
      <c r="A2" s="7"/>
      <c r="C2" s="4"/>
      <c r="E2" s="187"/>
      <c r="F2" s="4"/>
      <c r="G2" s="4"/>
      <c r="I2" s="188" t="s">
        <v>121</v>
      </c>
    </row>
    <row r="3" spans="1:12">
      <c r="A3" s="15" t="str">
        <f>'Exhibit List'!D2</f>
        <v>SUMMARY OF RESULTS</v>
      </c>
      <c r="C3" s="4"/>
    </row>
    <row r="4" spans="1:12">
      <c r="A4" s="15"/>
      <c r="C4" s="4"/>
    </row>
    <row r="5" spans="1:12">
      <c r="A5" s="15"/>
      <c r="C5" s="4"/>
      <c r="H5" s="4"/>
    </row>
    <row r="6" spans="1:12">
      <c r="B6" s="189" t="s">
        <v>122</v>
      </c>
      <c r="C6" s="190"/>
      <c r="D6" s="190"/>
      <c r="E6" s="190"/>
      <c r="F6" s="191" t="s">
        <v>123</v>
      </c>
      <c r="G6" s="191"/>
      <c r="H6" s="190"/>
    </row>
    <row r="7" spans="1:12" s="7" customFormat="1">
      <c r="B7" s="7" t="s">
        <v>95</v>
      </c>
      <c r="C7" s="4"/>
      <c r="D7" s="4"/>
      <c r="F7" s="116"/>
      <c r="G7" s="116"/>
      <c r="H7" s="4"/>
      <c r="I7" s="4"/>
      <c r="J7" s="4"/>
    </row>
    <row r="8" spans="1:12" ht="16.899999999999999" customHeight="1">
      <c r="B8" s="7"/>
      <c r="C8" s="4" t="s">
        <v>60</v>
      </c>
      <c r="E8" s="1437">
        <f>'5 (3)'!D30</f>
        <v>9.6502259200110421E-2</v>
      </c>
      <c r="F8" s="1437"/>
      <c r="G8" s="1437"/>
      <c r="I8" s="80"/>
      <c r="J8" s="80"/>
    </row>
    <row r="9" spans="1:12" ht="16.899999999999999" customHeight="1">
      <c r="B9" s="7"/>
      <c r="C9" s="4" t="s">
        <v>96</v>
      </c>
      <c r="E9" s="1437">
        <f>'5 (3)'!F30</f>
        <v>0.10612002932939675</v>
      </c>
      <c r="F9" s="1437"/>
      <c r="G9" s="1437"/>
      <c r="I9" s="80"/>
      <c r="J9" s="80"/>
    </row>
    <row r="10" spans="1:12" ht="16.899999999999999" customHeight="1">
      <c r="B10" s="7"/>
      <c r="C10" s="4" t="s">
        <v>97</v>
      </c>
      <c r="E10" s="1437">
        <f>'5 (3)'!H30</f>
        <v>0.10782521571501308</v>
      </c>
      <c r="F10" s="1437"/>
      <c r="G10" s="1437"/>
      <c r="I10" s="80"/>
      <c r="J10" s="80"/>
      <c r="K10" s="192"/>
    </row>
    <row r="11" spans="1:12" ht="16.899999999999999" customHeight="1">
      <c r="B11" s="7"/>
      <c r="C11" s="4" t="s">
        <v>98</v>
      </c>
      <c r="E11" s="1437">
        <f>'5 (3)'!K30</f>
        <v>9.0506211941038819E-2</v>
      </c>
      <c r="F11" s="1437"/>
      <c r="G11" s="1437"/>
      <c r="I11" s="80"/>
      <c r="J11" s="80"/>
      <c r="K11" s="192"/>
      <c r="L11" s="192"/>
    </row>
    <row r="12" spans="1:12" ht="9" customHeight="1">
      <c r="B12" s="7"/>
      <c r="C12" s="4"/>
      <c r="F12" s="193"/>
      <c r="G12" s="193"/>
      <c r="I12" s="80"/>
      <c r="J12" s="80"/>
      <c r="K12" s="7"/>
      <c r="L12" s="192"/>
    </row>
    <row r="13" spans="1:12" ht="15.75" customHeight="1">
      <c r="B13" s="7" t="s">
        <v>99</v>
      </c>
      <c r="C13" s="4"/>
      <c r="E13" s="79">
        <f>'7'!I30</f>
        <v>0.10541999999999999</v>
      </c>
      <c r="F13" s="709" t="s">
        <v>127</v>
      </c>
      <c r="G13" s="79">
        <f>'7'!L30</f>
        <v>0.10986499999999999</v>
      </c>
      <c r="K13" s="192"/>
      <c r="L13" s="7"/>
    </row>
    <row r="14" spans="1:12" ht="9" customHeight="1">
      <c r="B14" s="7"/>
      <c r="C14" s="4"/>
      <c r="E14" s="162"/>
      <c r="F14" s="193"/>
      <c r="K14" s="7"/>
      <c r="L14" s="7"/>
    </row>
    <row r="15" spans="1:12" ht="15.75" customHeight="1">
      <c r="B15" s="7" t="s">
        <v>1485</v>
      </c>
      <c r="C15" s="4"/>
      <c r="E15" s="79">
        <f>'8'!N30</f>
        <v>0.109065</v>
      </c>
      <c r="F15" s="709" t="s">
        <v>127</v>
      </c>
      <c r="G15" s="79">
        <f>'8'!Q30</f>
        <v>0.11351</v>
      </c>
      <c r="K15" s="192"/>
      <c r="L15" s="7"/>
    </row>
    <row r="16" spans="1:12" ht="9" customHeight="1">
      <c r="B16" s="7"/>
      <c r="C16" s="4"/>
      <c r="E16" s="162"/>
      <c r="F16" s="193"/>
      <c r="G16" s="193"/>
      <c r="K16" s="7"/>
      <c r="L16" s="7"/>
    </row>
    <row r="17" spans="1:23" ht="18.649999999999999" customHeight="1">
      <c r="B17" s="7" t="s">
        <v>100</v>
      </c>
      <c r="C17" s="4"/>
      <c r="E17" s="1437">
        <f>'9 (1)'!G23</f>
        <v>0.10739219999999999</v>
      </c>
      <c r="F17" s="1437"/>
      <c r="G17" s="1437"/>
      <c r="K17" s="192"/>
      <c r="L17" s="192"/>
      <c r="M17" s="7"/>
    </row>
    <row r="18" spans="1:23" ht="9" customHeight="1">
      <c r="B18" s="7"/>
      <c r="C18" s="4"/>
      <c r="F18" s="193"/>
      <c r="G18" s="193"/>
      <c r="H18" s="193"/>
      <c r="I18" s="80"/>
      <c r="J18" s="80"/>
      <c r="K18" s="7"/>
    </row>
    <row r="19" spans="1:23" ht="15.75" customHeight="1">
      <c r="B19" s="7" t="s">
        <v>1505</v>
      </c>
      <c r="C19" s="4"/>
      <c r="E19" s="1437">
        <f>'10'!H30</f>
        <v>0.11059193421418637</v>
      </c>
      <c r="F19" s="1437"/>
      <c r="G19" s="1437"/>
      <c r="H19" s="193"/>
      <c r="I19" s="80"/>
      <c r="J19" s="80"/>
      <c r="K19" s="192"/>
      <c r="L19" s="192"/>
    </row>
    <row r="20" spans="1:23" ht="9" customHeight="1">
      <c r="B20" s="7"/>
      <c r="C20" s="4"/>
      <c r="F20" s="193"/>
      <c r="G20" s="193"/>
      <c r="H20" s="193"/>
      <c r="I20" s="80"/>
      <c r="J20" s="80"/>
      <c r="K20" s="7"/>
    </row>
    <row r="21" spans="1:23">
      <c r="B21" s="7"/>
      <c r="C21" s="4"/>
      <c r="E21" s="79"/>
      <c r="H21" s="193"/>
      <c r="K21" s="192"/>
      <c r="L21" s="115"/>
      <c r="M21" s="7"/>
      <c r="N21" s="7"/>
    </row>
    <row r="22" spans="1:23" ht="16" thickBot="1">
      <c r="B22" s="1435" t="s">
        <v>124</v>
      </c>
      <c r="C22" s="1435"/>
      <c r="D22" s="1435"/>
      <c r="E22" s="1435"/>
      <c r="F22" s="1435"/>
      <c r="G22" s="1435"/>
      <c r="H22" s="1435"/>
    </row>
    <row r="23" spans="1:23" s="1" customFormat="1" ht="12.75" customHeight="1" thickTop="1">
      <c r="B23" s="194"/>
      <c r="C23" s="195"/>
      <c r="D23" s="195"/>
      <c r="E23" s="195"/>
      <c r="F23" s="195"/>
      <c r="G23" s="195"/>
      <c r="H23" s="196"/>
      <c r="I23" s="4"/>
      <c r="L23" s="4"/>
      <c r="M23" s="4"/>
      <c r="T23" s="4"/>
    </row>
    <row r="24" spans="1:23" ht="15.75" customHeight="1">
      <c r="B24" s="3" t="s">
        <v>125</v>
      </c>
      <c r="C24" s="16"/>
      <c r="E24" s="4"/>
      <c r="F24" s="4"/>
      <c r="G24" s="4"/>
      <c r="H24" s="4"/>
      <c r="L24" s="114"/>
    </row>
    <row r="25" spans="1:23" ht="21" customHeight="1">
      <c r="B25" s="3"/>
      <c r="C25" s="197" t="s">
        <v>126</v>
      </c>
      <c r="D25" s="7"/>
      <c r="E25" s="198">
        <v>0.1</v>
      </c>
      <c r="F25" s="199" t="s">
        <v>127</v>
      </c>
      <c r="G25" s="200">
        <v>0.11</v>
      </c>
      <c r="H25" s="201"/>
      <c r="I25" s="202"/>
      <c r="J25" s="1"/>
      <c r="L25" s="114"/>
    </row>
    <row r="26" spans="1:23" ht="21" customHeight="1">
      <c r="B26" s="3"/>
      <c r="C26" s="197" t="s">
        <v>128</v>
      </c>
      <c r="D26" s="7"/>
      <c r="E26" s="1436">
        <f>AVERAGE(E25,G25)</f>
        <v>0.10500000000000001</v>
      </c>
      <c r="F26" s="1436"/>
      <c r="G26" s="1436"/>
      <c r="H26" s="204"/>
      <c r="I26" s="202"/>
      <c r="J26" s="1"/>
      <c r="K26" s="192"/>
      <c r="L26" s="114"/>
    </row>
    <row r="27" spans="1:23" s="1" customFormat="1">
      <c r="A27" s="4"/>
      <c r="B27" s="7"/>
      <c r="C27" s="7"/>
      <c r="D27" s="4"/>
      <c r="E27" s="204"/>
      <c r="F27" s="205"/>
      <c r="G27" s="204"/>
      <c r="H27" s="200"/>
      <c r="I27" s="4"/>
      <c r="J27" s="4"/>
      <c r="K27" s="171"/>
      <c r="L27" s="171"/>
      <c r="S27" s="4"/>
    </row>
    <row r="28" spans="1:23" s="1" customFormat="1">
      <c r="A28" s="4"/>
      <c r="B28" s="7"/>
      <c r="C28" s="7"/>
      <c r="D28" s="4"/>
      <c r="E28" s="204"/>
      <c r="F28" s="204"/>
      <c r="G28" s="204"/>
      <c r="H28" s="200"/>
      <c r="I28" s="4"/>
      <c r="J28" s="4"/>
      <c r="K28" s="171"/>
      <c r="L28" s="171"/>
      <c r="S28" s="4"/>
    </row>
    <row r="29" spans="1:23" s="1" customFormat="1">
      <c r="A29" s="4"/>
      <c r="B29" s="7"/>
      <c r="C29" s="7"/>
      <c r="D29" s="4"/>
      <c r="E29" s="204"/>
      <c r="F29" s="204"/>
      <c r="G29" s="204"/>
      <c r="H29" s="200"/>
      <c r="I29" s="4"/>
      <c r="J29" s="4"/>
      <c r="K29" s="171"/>
      <c r="L29" s="171"/>
      <c r="S29" s="4"/>
    </row>
    <row r="30" spans="1:23" s="1" customFormat="1">
      <c r="A30" s="4"/>
      <c r="B30" s="7"/>
      <c r="C30" s="7"/>
      <c r="D30" s="4"/>
      <c r="E30" s="204"/>
      <c r="F30" s="204"/>
      <c r="G30" s="204"/>
      <c r="H30" s="200"/>
      <c r="I30" s="4"/>
      <c r="J30" s="4"/>
      <c r="K30" s="171"/>
      <c r="L30" s="171"/>
      <c r="S30" s="4"/>
    </row>
    <row r="31" spans="1:23" ht="15.75" customHeight="1">
      <c r="B31" s="7"/>
      <c r="E31" s="204"/>
      <c r="F31" s="204"/>
      <c r="G31" s="204"/>
      <c r="H31" s="200"/>
      <c r="M31" s="1"/>
      <c r="N31" s="7"/>
      <c r="O31" s="175" t="s">
        <v>82</v>
      </c>
      <c r="P31" s="2"/>
      <c r="Q31" s="2"/>
      <c r="R31" s="2"/>
      <c r="S31" s="7"/>
      <c r="T31" s="7"/>
      <c r="U31" s="1422" t="s">
        <v>129</v>
      </c>
      <c r="V31" s="1422"/>
      <c r="W31" s="1422"/>
    </row>
    <row r="32" spans="1:23" ht="15.75" customHeight="1">
      <c r="E32" s="206"/>
      <c r="F32" s="207"/>
      <c r="G32" s="207"/>
      <c r="H32" s="208"/>
      <c r="L32" s="209" t="s">
        <v>130</v>
      </c>
      <c r="M32" s="210"/>
      <c r="N32" s="113" t="s">
        <v>47</v>
      </c>
      <c r="O32" s="113"/>
      <c r="P32" s="211" t="s">
        <v>131</v>
      </c>
      <c r="Q32" s="2"/>
      <c r="R32" s="2"/>
      <c r="S32" s="212" t="s">
        <v>130</v>
      </c>
      <c r="T32" s="210"/>
      <c r="U32" s="113" t="s">
        <v>47</v>
      </c>
      <c r="V32" s="113"/>
      <c r="W32" s="211" t="s">
        <v>131</v>
      </c>
    </row>
    <row r="33" spans="12:23">
      <c r="L33" s="1" t="s">
        <v>60</v>
      </c>
      <c r="M33" s="1"/>
      <c r="N33" s="79">
        <f>E8</f>
        <v>9.6502259200110421E-2</v>
      </c>
      <c r="O33" s="1"/>
      <c r="P33" s="80">
        <f>AVERAGE('5 (3)'!O30:O31)</f>
        <v>0.10148403796849213</v>
      </c>
      <c r="Q33" s="1"/>
      <c r="R33" s="1"/>
      <c r="S33" s="1" t="s">
        <v>60</v>
      </c>
      <c r="T33" s="1"/>
      <c r="U33" s="79">
        <f>'12 (3)'!D53</f>
        <v>0.10133372162522163</v>
      </c>
      <c r="W33" s="79">
        <f>AVERAGE('12 (3)'!L53:L54)</f>
        <v>0.11420626666356676</v>
      </c>
    </row>
    <row r="34" spans="12:23">
      <c r="L34" s="1" t="s">
        <v>96</v>
      </c>
      <c r="M34" s="1"/>
      <c r="N34" s="79">
        <f>E9</f>
        <v>0.10612002932939675</v>
      </c>
      <c r="O34" s="1"/>
      <c r="P34" s="80">
        <f>AVERAGE('5 (3)'!P30:P31)</f>
        <v>0.11020286321057035</v>
      </c>
      <c r="Q34" s="1"/>
      <c r="R34" s="1"/>
      <c r="S34" s="1" t="s">
        <v>96</v>
      </c>
      <c r="T34" s="1"/>
      <c r="U34" s="79">
        <f>'12 (3)'!F53</f>
        <v>0.10219528913471697</v>
      </c>
      <c r="V34" s="1"/>
      <c r="W34" s="79">
        <f>AVERAGE('12 (3)'!M53:M54)</f>
        <v>0.11477126471488605</v>
      </c>
    </row>
    <row r="35" spans="12:23">
      <c r="L35" s="1" t="s">
        <v>97</v>
      </c>
      <c r="M35" s="210"/>
      <c r="N35" s="79">
        <f>E10</f>
        <v>0.10782521571501308</v>
      </c>
      <c r="O35" s="1"/>
      <c r="P35" s="80">
        <f>AVERAGE('5 (3)'!Q30:Q31)</f>
        <v>0.11395769262814047</v>
      </c>
      <c r="Q35" s="1"/>
      <c r="R35" s="1"/>
      <c r="S35" s="1" t="s">
        <v>97</v>
      </c>
      <c r="T35" s="210"/>
      <c r="U35" s="79">
        <f>'12 (3)'!H53</f>
        <v>0.10541765379836204</v>
      </c>
      <c r="V35" s="79"/>
      <c r="W35" s="79">
        <f>AVERAGE('12 (3)'!N53:N54)</f>
        <v>0.11700500526588617</v>
      </c>
    </row>
    <row r="36" spans="12:23">
      <c r="L36" s="1" t="s">
        <v>132</v>
      </c>
      <c r="M36" s="210"/>
      <c r="N36" s="79">
        <f>E11</f>
        <v>9.0506211941038819E-2</v>
      </c>
      <c r="O36" s="1"/>
      <c r="P36" s="80">
        <f>AVERAGE('5 (3)'!R30:R31)</f>
        <v>9.9307719625927951E-2</v>
      </c>
      <c r="Q36" s="1"/>
      <c r="R36" s="1"/>
      <c r="S36" s="1"/>
      <c r="T36" s="210"/>
      <c r="U36" s="80"/>
      <c r="V36" s="1"/>
      <c r="W36" s="80"/>
    </row>
    <row r="37" spans="12:23">
      <c r="L37" s="1"/>
      <c r="M37" s="1"/>
      <c r="N37" s="80"/>
      <c r="O37" s="1"/>
      <c r="P37" s="80"/>
      <c r="Q37" s="1"/>
      <c r="R37" s="1"/>
      <c r="S37" s="1"/>
      <c r="T37" s="1"/>
      <c r="U37" s="79">
        <f>AVERAGE(U33:U34)</f>
        <v>0.1017645053799693</v>
      </c>
      <c r="V37" s="1"/>
      <c r="W37" s="80"/>
    </row>
  </sheetData>
  <sortState xmlns:xlrd2="http://schemas.microsoft.com/office/spreadsheetml/2017/richdata2" ref="F35:F45">
    <sortCondition ref="F35:F45"/>
  </sortState>
  <mergeCells count="9">
    <mergeCell ref="U31:W31"/>
    <mergeCell ref="B22:H22"/>
    <mergeCell ref="E26:G26"/>
    <mergeCell ref="E8:G8"/>
    <mergeCell ref="E9:G9"/>
    <mergeCell ref="E10:G10"/>
    <mergeCell ref="E11:G11"/>
    <mergeCell ref="E17:G17"/>
    <mergeCell ref="E19:G19"/>
  </mergeCells>
  <printOptions horizontalCentered="1"/>
  <pageMargins left="0.5" right="0.5" top="1.25" bottom="0.25" header="0.25" footer="0.5"/>
  <pageSetup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C5C58-E6D1-4222-B9E6-769BEE179F78}">
  <sheetPr codeName="Sheet15"/>
  <dimension ref="A1:P39"/>
  <sheetViews>
    <sheetView view="pageBreakPreview" zoomScaleNormal="100" zoomScaleSheetLayoutView="100" workbookViewId="0"/>
  </sheetViews>
  <sheetFormatPr defaultColWidth="9" defaultRowHeight="15.5"/>
  <cols>
    <col min="1" max="1" width="4.1796875" style="233" customWidth="1"/>
    <col min="2" max="2" width="28.453125" style="214" customWidth="1"/>
    <col min="3" max="3" width="7.54296875" style="491" customWidth="1"/>
    <col min="4" max="4" width="7.54296875" style="470" customWidth="1"/>
    <col min="5" max="5" width="7.54296875" style="233" customWidth="1"/>
    <col min="6" max="6" width="9.54296875" style="470" customWidth="1"/>
    <col min="7" max="7" width="13.54296875" style="233" customWidth="1"/>
    <col min="8" max="8" width="7.54296875" style="470" customWidth="1"/>
    <col min="9" max="9" width="8.54296875" style="233" customWidth="1"/>
    <col min="10" max="10" width="8.54296875" style="470" customWidth="1"/>
    <col min="11" max="11" width="8.54296875" style="233" customWidth="1"/>
    <col min="12" max="12" width="8.54296875" style="470" customWidth="1"/>
    <col min="13" max="13" width="1.54296875" style="233" customWidth="1"/>
    <col min="14" max="14" width="14.54296875" style="470" customWidth="1"/>
    <col min="15" max="15" width="14.54296875" style="233" customWidth="1"/>
    <col min="16" max="16" width="7.54296875" style="470" customWidth="1"/>
    <col min="17" max="16384" width="9" style="214"/>
  </cols>
  <sheetData>
    <row r="1" spans="1:16" s="462" customFormat="1">
      <c r="A1" s="278" t="str">
        <f>'Exhibit List'!C3</f>
        <v>REGULATORY MECHANISMS</v>
      </c>
      <c r="B1" s="162"/>
      <c r="C1" s="4"/>
      <c r="D1" s="162"/>
      <c r="E1" s="272"/>
      <c r="F1" s="162"/>
      <c r="G1" s="4"/>
      <c r="H1" s="162"/>
      <c r="I1" s="4"/>
      <c r="J1" s="162"/>
      <c r="K1" s="4"/>
      <c r="L1" s="162"/>
      <c r="M1" s="4"/>
      <c r="N1" s="162"/>
      <c r="O1" s="4"/>
      <c r="P1" s="188" t="str">
        <f>'Exhibit List'!B3</f>
        <v>Exhibit AMM-3</v>
      </c>
    </row>
    <row r="2" spans="1:16" s="462" customFormat="1">
      <c r="A2" s="162"/>
      <c r="B2" s="91"/>
      <c r="C2" s="4"/>
      <c r="D2" s="492"/>
      <c r="E2" s="4"/>
      <c r="F2" s="162"/>
      <c r="G2" s="4"/>
      <c r="H2" s="162"/>
      <c r="I2" s="4"/>
      <c r="J2" s="162"/>
      <c r="K2" s="4"/>
      <c r="L2" s="162"/>
      <c r="M2" s="4"/>
      <c r="N2" s="162"/>
      <c r="O2" s="4"/>
      <c r="P2" s="188" t="s">
        <v>1919</v>
      </c>
    </row>
    <row r="3" spans="1:16" s="462" customFormat="1">
      <c r="A3" s="17" t="str">
        <f>'Exhibit List'!D3</f>
        <v>UTILITY GROUP</v>
      </c>
      <c r="B3" s="162"/>
      <c r="C3" s="4"/>
      <c r="D3" s="162"/>
      <c r="E3" s="4"/>
      <c r="F3" s="162"/>
      <c r="G3" s="4"/>
      <c r="H3" s="162"/>
      <c r="I3" s="4"/>
      <c r="J3" s="162"/>
      <c r="K3" s="4"/>
      <c r="L3" s="162"/>
      <c r="M3" s="4"/>
      <c r="N3" s="162"/>
      <c r="O3" s="4"/>
      <c r="P3" s="162"/>
    </row>
    <row r="4" spans="1:16" s="462" customFormat="1" ht="13.15" customHeight="1">
      <c r="A4" s="464"/>
      <c r="C4" s="491"/>
      <c r="D4" s="463"/>
      <c r="E4" s="464"/>
      <c r="F4" s="463"/>
      <c r="G4" s="464"/>
      <c r="H4" s="463"/>
      <c r="I4" s="464"/>
      <c r="J4" s="463"/>
      <c r="K4" s="464"/>
      <c r="L4" s="463"/>
      <c r="M4" s="464"/>
      <c r="N4" s="463"/>
      <c r="O4" s="464"/>
      <c r="P4" s="463"/>
    </row>
    <row r="5" spans="1:16" s="495" customFormat="1" ht="15" customHeight="1">
      <c r="A5" s="493"/>
      <c r="B5" s="494"/>
      <c r="C5" s="1438" t="s">
        <v>1409</v>
      </c>
      <c r="D5" s="1438"/>
      <c r="E5" s="1438"/>
      <c r="F5" s="1438"/>
      <c r="G5" s="1438"/>
      <c r="H5" s="1438"/>
      <c r="I5" s="1438"/>
      <c r="J5" s="1438"/>
      <c r="K5" s="1438"/>
      <c r="L5" s="1438"/>
      <c r="M5" s="473"/>
      <c r="N5" s="1438" t="s">
        <v>1410</v>
      </c>
      <c r="O5" s="1438"/>
      <c r="P5" s="1438"/>
    </row>
    <row r="6" spans="1:16" s="495" customFormat="1" ht="14">
      <c r="B6" s="477"/>
      <c r="C6" s="476" t="s">
        <v>1414</v>
      </c>
      <c r="D6" s="476"/>
      <c r="E6" s="476"/>
      <c r="F6" s="476"/>
      <c r="G6" s="476" t="s">
        <v>1411</v>
      </c>
      <c r="H6" s="476"/>
      <c r="I6" s="477"/>
      <c r="J6" s="477"/>
      <c r="K6" s="476"/>
      <c r="L6" s="477"/>
      <c r="M6" s="473"/>
      <c r="N6" s="476" t="s">
        <v>1412</v>
      </c>
      <c r="O6" s="476" t="s">
        <v>1413</v>
      </c>
      <c r="P6" s="476" t="s">
        <v>133</v>
      </c>
    </row>
    <row r="7" spans="1:16" s="495" customFormat="1" ht="15" customHeight="1">
      <c r="B7" s="477"/>
      <c r="C7" s="476" t="s">
        <v>1432</v>
      </c>
      <c r="D7" s="476" t="s">
        <v>1415</v>
      </c>
      <c r="E7" s="476"/>
      <c r="F7" s="476" t="s">
        <v>1416</v>
      </c>
      <c r="G7" s="476" t="s">
        <v>1417</v>
      </c>
      <c r="H7" s="1439" t="s">
        <v>1418</v>
      </c>
      <c r="I7" s="476" t="s">
        <v>1419</v>
      </c>
      <c r="J7" s="476" t="s">
        <v>1420</v>
      </c>
      <c r="K7" s="476" t="s">
        <v>1421</v>
      </c>
      <c r="L7" s="476" t="s">
        <v>1434</v>
      </c>
      <c r="M7" s="473"/>
      <c r="N7" s="476" t="s">
        <v>1422</v>
      </c>
      <c r="O7" s="476" t="s">
        <v>1423</v>
      </c>
      <c r="P7" s="476" t="s">
        <v>134</v>
      </c>
    </row>
    <row r="8" spans="1:16" s="495" customFormat="1" ht="15.65" customHeight="1">
      <c r="A8" s="496"/>
      <c r="B8" s="497" t="s">
        <v>78</v>
      </c>
      <c r="C8" s="478" t="s">
        <v>1433</v>
      </c>
      <c r="D8" s="478" t="s">
        <v>458</v>
      </c>
      <c r="E8" s="478" t="s">
        <v>1424</v>
      </c>
      <c r="F8" s="478" t="s">
        <v>1425</v>
      </c>
      <c r="G8" s="478" t="s">
        <v>1426</v>
      </c>
      <c r="H8" s="1440"/>
      <c r="I8" s="474" t="s">
        <v>1427</v>
      </c>
      <c r="J8" s="474" t="s">
        <v>1428</v>
      </c>
      <c r="K8" s="478" t="s">
        <v>1429</v>
      </c>
      <c r="L8" s="478" t="s">
        <v>1435</v>
      </c>
      <c r="M8" s="473"/>
      <c r="N8" s="474" t="s">
        <v>1430</v>
      </c>
      <c r="O8" s="474" t="s">
        <v>1431</v>
      </c>
      <c r="P8" s="478" t="s">
        <v>135</v>
      </c>
    </row>
    <row r="9" spans="1:16" s="495" customFormat="1" ht="5.5" customHeight="1">
      <c r="A9" s="496"/>
      <c r="B9" s="496"/>
      <c r="C9" s="498"/>
      <c r="D9" s="499"/>
      <c r="E9" s="500"/>
      <c r="F9" s="499"/>
      <c r="G9" s="500"/>
      <c r="H9" s="498"/>
      <c r="I9" s="501"/>
      <c r="J9" s="498"/>
      <c r="K9" s="501"/>
      <c r="L9" s="498"/>
      <c r="M9" s="501"/>
      <c r="N9" s="499"/>
      <c r="O9" s="500"/>
      <c r="P9" s="498"/>
    </row>
    <row r="10" spans="1:16" s="502" customFormat="1">
      <c r="A10" s="233">
        <v>1</v>
      </c>
      <c r="B10" s="19" t="s">
        <v>3</v>
      </c>
      <c r="C10" s="470" t="s">
        <v>136</v>
      </c>
      <c r="D10" s="470" t="s">
        <v>136</v>
      </c>
      <c r="E10" s="470" t="s">
        <v>136</v>
      </c>
      <c r="F10" s="470" t="s">
        <v>127</v>
      </c>
      <c r="G10" s="470" t="s">
        <v>136</v>
      </c>
      <c r="H10" s="470" t="s">
        <v>136</v>
      </c>
      <c r="I10" s="470" t="s">
        <v>127</v>
      </c>
      <c r="J10" s="470" t="s">
        <v>127</v>
      </c>
      <c r="K10" s="470" t="s">
        <v>136</v>
      </c>
      <c r="L10" s="470" t="s">
        <v>136</v>
      </c>
      <c r="M10" s="470"/>
      <c r="N10" s="470" t="s">
        <v>136</v>
      </c>
      <c r="O10" s="470" t="s">
        <v>136</v>
      </c>
      <c r="P10" s="470" t="s">
        <v>136</v>
      </c>
    </row>
    <row r="11" spans="1:16" s="502" customFormat="1">
      <c r="A11" s="233">
        <f t="shared" ref="A11:A29" si="0">A10+1</f>
        <v>2</v>
      </c>
      <c r="B11" s="19" t="s">
        <v>1458</v>
      </c>
      <c r="C11" s="470" t="s">
        <v>136</v>
      </c>
      <c r="D11" s="470" t="s">
        <v>136</v>
      </c>
      <c r="E11" s="470" t="s">
        <v>127</v>
      </c>
      <c r="F11" s="470" t="s">
        <v>136</v>
      </c>
      <c r="G11" s="470" t="s">
        <v>136</v>
      </c>
      <c r="H11" s="470" t="s">
        <v>136</v>
      </c>
      <c r="I11" s="470" t="s">
        <v>127</v>
      </c>
      <c r="J11" s="470" t="s">
        <v>136</v>
      </c>
      <c r="K11" s="470" t="s">
        <v>136</v>
      </c>
      <c r="L11" s="470" t="s">
        <v>136</v>
      </c>
      <c r="M11" s="470"/>
      <c r="N11" s="470" t="s">
        <v>127</v>
      </c>
      <c r="O11" s="470" t="s">
        <v>136</v>
      </c>
      <c r="P11" s="470" t="s">
        <v>136</v>
      </c>
    </row>
    <row r="12" spans="1:16" s="502" customFormat="1">
      <c r="A12" s="233">
        <f t="shared" si="0"/>
        <v>3</v>
      </c>
      <c r="B12" s="19" t="s">
        <v>31</v>
      </c>
      <c r="C12" s="470" t="s">
        <v>136</v>
      </c>
      <c r="D12" s="470" t="s">
        <v>127</v>
      </c>
      <c r="E12" s="470" t="s">
        <v>127</v>
      </c>
      <c r="F12" s="470" t="s">
        <v>127</v>
      </c>
      <c r="G12" s="470" t="s">
        <v>136</v>
      </c>
      <c r="H12" s="470" t="s">
        <v>136</v>
      </c>
      <c r="I12" s="470" t="s">
        <v>127</v>
      </c>
      <c r="J12" s="470" t="s">
        <v>127</v>
      </c>
      <c r="K12" s="470" t="s">
        <v>136</v>
      </c>
      <c r="L12" s="470" t="s">
        <v>136</v>
      </c>
      <c r="M12" s="470"/>
      <c r="N12" s="470" t="s">
        <v>136</v>
      </c>
      <c r="O12" s="470" t="s">
        <v>127</v>
      </c>
      <c r="P12" s="470" t="s">
        <v>127</v>
      </c>
    </row>
    <row r="13" spans="1:16" s="502" customFormat="1">
      <c r="A13" s="233">
        <f t="shared" si="0"/>
        <v>4</v>
      </c>
      <c r="B13" s="19" t="s">
        <v>32</v>
      </c>
      <c r="C13" s="470" t="s">
        <v>136</v>
      </c>
      <c r="D13" s="470" t="s">
        <v>127</v>
      </c>
      <c r="E13" s="470" t="s">
        <v>127</v>
      </c>
      <c r="F13" s="470" t="s">
        <v>136</v>
      </c>
      <c r="G13" s="470" t="s">
        <v>136</v>
      </c>
      <c r="H13" s="470" t="s">
        <v>136</v>
      </c>
      <c r="I13" s="470" t="s">
        <v>127</v>
      </c>
      <c r="J13" s="470" t="s">
        <v>127</v>
      </c>
      <c r="K13" s="470" t="s">
        <v>136</v>
      </c>
      <c r="L13" s="470" t="s">
        <v>136</v>
      </c>
      <c r="M13" s="470"/>
      <c r="N13" s="470" t="s">
        <v>127</v>
      </c>
      <c r="O13" s="470" t="s">
        <v>127</v>
      </c>
      <c r="P13" s="470" t="s">
        <v>127</v>
      </c>
    </row>
    <row r="14" spans="1:16" s="502" customFormat="1">
      <c r="A14" s="233">
        <f t="shared" si="0"/>
        <v>5</v>
      </c>
      <c r="B14" s="19" t="s">
        <v>33</v>
      </c>
      <c r="C14" s="470" t="s">
        <v>136</v>
      </c>
      <c r="D14" s="470" t="s">
        <v>136</v>
      </c>
      <c r="E14" s="470" t="s">
        <v>136</v>
      </c>
      <c r="F14" s="470" t="s">
        <v>136</v>
      </c>
      <c r="G14" s="470" t="s">
        <v>136</v>
      </c>
      <c r="H14" s="470" t="s">
        <v>136</v>
      </c>
      <c r="I14" s="470" t="s">
        <v>127</v>
      </c>
      <c r="J14" s="470" t="s">
        <v>136</v>
      </c>
      <c r="K14" s="470" t="s">
        <v>136</v>
      </c>
      <c r="L14" s="470" t="s">
        <v>136</v>
      </c>
      <c r="M14" s="470"/>
      <c r="N14" s="470" t="s">
        <v>136</v>
      </c>
      <c r="O14" s="470" t="s">
        <v>136</v>
      </c>
      <c r="P14" s="470" t="s">
        <v>127</v>
      </c>
    </row>
    <row r="15" spans="1:16" s="502" customFormat="1">
      <c r="A15" s="233">
        <f t="shared" si="0"/>
        <v>6</v>
      </c>
      <c r="B15" s="19" t="s">
        <v>6</v>
      </c>
      <c r="C15" s="470" t="s">
        <v>136</v>
      </c>
      <c r="D15" s="470" t="s">
        <v>127</v>
      </c>
      <c r="E15" s="470" t="s">
        <v>136</v>
      </c>
      <c r="F15" s="470" t="s">
        <v>127</v>
      </c>
      <c r="G15" s="470" t="s">
        <v>136</v>
      </c>
      <c r="H15" s="470" t="s">
        <v>136</v>
      </c>
      <c r="I15" s="470" t="s">
        <v>127</v>
      </c>
      <c r="J15" s="470" t="s">
        <v>127</v>
      </c>
      <c r="K15" s="470" t="s">
        <v>127</v>
      </c>
      <c r="L15" s="470" t="s">
        <v>127</v>
      </c>
      <c r="M15" s="470"/>
      <c r="N15" s="470" t="s">
        <v>127</v>
      </c>
      <c r="O15" s="470" t="s">
        <v>136</v>
      </c>
      <c r="P15" s="470" t="s">
        <v>136</v>
      </c>
    </row>
    <row r="16" spans="1:16" s="502" customFormat="1">
      <c r="A16" s="233">
        <f t="shared" si="0"/>
        <v>7</v>
      </c>
      <c r="B16" s="19" t="s">
        <v>34</v>
      </c>
      <c r="C16" s="470" t="s">
        <v>136</v>
      </c>
      <c r="D16" s="470" t="s">
        <v>127</v>
      </c>
      <c r="E16" s="470" t="s">
        <v>136</v>
      </c>
      <c r="F16" s="470" t="s">
        <v>136</v>
      </c>
      <c r="G16" s="470" t="s">
        <v>136</v>
      </c>
      <c r="H16" s="470" t="s">
        <v>136</v>
      </c>
      <c r="I16" s="470" t="s">
        <v>136</v>
      </c>
      <c r="J16" s="470" t="s">
        <v>136</v>
      </c>
      <c r="K16" s="470" t="s">
        <v>136</v>
      </c>
      <c r="L16" s="470" t="s">
        <v>136</v>
      </c>
      <c r="M16" s="470"/>
      <c r="N16" s="470" t="s">
        <v>136</v>
      </c>
      <c r="O16" s="470" t="s">
        <v>136</v>
      </c>
      <c r="P16" s="470" t="s">
        <v>136</v>
      </c>
    </row>
    <row r="17" spans="1:16" s="502" customFormat="1">
      <c r="A17" s="233">
        <f t="shared" si="0"/>
        <v>8</v>
      </c>
      <c r="B17" s="19" t="s">
        <v>8</v>
      </c>
      <c r="C17" s="470" t="s">
        <v>136</v>
      </c>
      <c r="D17" s="470" t="s">
        <v>127</v>
      </c>
      <c r="E17" s="470" t="s">
        <v>127</v>
      </c>
      <c r="F17" s="470" t="s">
        <v>127</v>
      </c>
      <c r="G17" s="470" t="s">
        <v>136</v>
      </c>
      <c r="H17" s="470" t="s">
        <v>136</v>
      </c>
      <c r="I17" s="470" t="s">
        <v>127</v>
      </c>
      <c r="J17" s="470" t="s">
        <v>127</v>
      </c>
      <c r="K17" s="470" t="s">
        <v>127</v>
      </c>
      <c r="L17" s="470" t="s">
        <v>136</v>
      </c>
      <c r="M17" s="470"/>
      <c r="N17" s="470" t="s">
        <v>127</v>
      </c>
      <c r="O17" s="470" t="s">
        <v>136</v>
      </c>
      <c r="P17" s="470" t="s">
        <v>136</v>
      </c>
    </row>
    <row r="18" spans="1:16" s="502" customFormat="1">
      <c r="A18" s="233">
        <f t="shared" si="0"/>
        <v>9</v>
      </c>
      <c r="B18" s="19" t="s">
        <v>9</v>
      </c>
      <c r="C18" s="470" t="s">
        <v>136</v>
      </c>
      <c r="D18" s="470" t="s">
        <v>136</v>
      </c>
      <c r="E18" s="470" t="s">
        <v>127</v>
      </c>
      <c r="F18" s="470" t="s">
        <v>136</v>
      </c>
      <c r="G18" s="470" t="s">
        <v>136</v>
      </c>
      <c r="H18" s="470" t="s">
        <v>136</v>
      </c>
      <c r="I18" s="470" t="s">
        <v>136</v>
      </c>
      <c r="J18" s="470" t="s">
        <v>136</v>
      </c>
      <c r="K18" s="470" t="s">
        <v>136</v>
      </c>
      <c r="L18" s="470" t="s">
        <v>136</v>
      </c>
      <c r="M18" s="470"/>
      <c r="N18" s="470" t="s">
        <v>136</v>
      </c>
      <c r="O18" s="470" t="s">
        <v>136</v>
      </c>
      <c r="P18" s="470" t="s">
        <v>136</v>
      </c>
    </row>
    <row r="19" spans="1:16" s="502" customFormat="1">
      <c r="A19" s="233">
        <f t="shared" si="0"/>
        <v>10</v>
      </c>
      <c r="B19" s="19" t="s">
        <v>35</v>
      </c>
      <c r="C19" s="470" t="s">
        <v>136</v>
      </c>
      <c r="D19" s="470" t="s">
        <v>127</v>
      </c>
      <c r="E19" s="470" t="s">
        <v>136</v>
      </c>
      <c r="F19" s="470" t="s">
        <v>136</v>
      </c>
      <c r="G19" s="470" t="s">
        <v>136</v>
      </c>
      <c r="H19" s="470" t="s">
        <v>136</v>
      </c>
      <c r="I19" s="470" t="s">
        <v>127</v>
      </c>
      <c r="J19" s="470" t="s">
        <v>127</v>
      </c>
      <c r="K19" s="470" t="s">
        <v>127</v>
      </c>
      <c r="L19" s="470" t="s">
        <v>127</v>
      </c>
      <c r="M19" s="470"/>
      <c r="N19" s="470" t="s">
        <v>136</v>
      </c>
      <c r="O19" s="470" t="s">
        <v>127</v>
      </c>
      <c r="P19" s="470" t="s">
        <v>136</v>
      </c>
    </row>
    <row r="20" spans="1:16" s="502" customFormat="1">
      <c r="A20" s="233">
        <f t="shared" si="0"/>
        <v>11</v>
      </c>
      <c r="B20" s="19" t="s">
        <v>10</v>
      </c>
      <c r="C20" s="470" t="s">
        <v>136</v>
      </c>
      <c r="D20" s="470" t="s">
        <v>127</v>
      </c>
      <c r="E20" s="470" t="s">
        <v>136</v>
      </c>
      <c r="F20" s="470" t="s">
        <v>136</v>
      </c>
      <c r="G20" s="470" t="s">
        <v>136</v>
      </c>
      <c r="H20" s="470" t="s">
        <v>136</v>
      </c>
      <c r="I20" s="470" t="s">
        <v>136</v>
      </c>
      <c r="J20" s="470" t="s">
        <v>136</v>
      </c>
      <c r="K20" s="470" t="s">
        <v>136</v>
      </c>
      <c r="L20" s="470" t="s">
        <v>136</v>
      </c>
      <c r="M20" s="470"/>
      <c r="N20" s="470" t="s">
        <v>136</v>
      </c>
      <c r="O20" s="470" t="s">
        <v>136</v>
      </c>
      <c r="P20" s="470" t="s">
        <v>136</v>
      </c>
    </row>
    <row r="21" spans="1:16" s="502" customFormat="1">
      <c r="A21" s="233">
        <f t="shared" si="0"/>
        <v>12</v>
      </c>
      <c r="B21" s="19" t="s">
        <v>11</v>
      </c>
      <c r="C21" s="470" t="s">
        <v>136</v>
      </c>
      <c r="D21" s="470" t="s">
        <v>136</v>
      </c>
      <c r="E21" s="470" t="s">
        <v>127</v>
      </c>
      <c r="F21" s="470" t="s">
        <v>127</v>
      </c>
      <c r="G21" s="470" t="s">
        <v>136</v>
      </c>
      <c r="H21" s="470" t="s">
        <v>136</v>
      </c>
      <c r="I21" s="470" t="s">
        <v>136</v>
      </c>
      <c r="J21" s="470" t="s">
        <v>136</v>
      </c>
      <c r="K21" s="470" t="s">
        <v>136</v>
      </c>
      <c r="L21" s="470" t="s">
        <v>127</v>
      </c>
      <c r="M21" s="470"/>
      <c r="N21" s="470" t="s">
        <v>127</v>
      </c>
      <c r="O21" s="292" t="s">
        <v>127</v>
      </c>
      <c r="P21" s="470" t="s">
        <v>127</v>
      </c>
    </row>
    <row r="22" spans="1:16" s="502" customFormat="1">
      <c r="A22" s="233">
        <f t="shared" si="0"/>
        <v>13</v>
      </c>
      <c r="B22" s="19" t="s">
        <v>12</v>
      </c>
      <c r="C22" s="470" t="s">
        <v>136</v>
      </c>
      <c r="D22" s="470" t="s">
        <v>127</v>
      </c>
      <c r="E22" s="470" t="s">
        <v>136</v>
      </c>
      <c r="F22" s="470" t="s">
        <v>136</v>
      </c>
      <c r="G22" s="470" t="s">
        <v>136</v>
      </c>
      <c r="H22" s="470" t="s">
        <v>136</v>
      </c>
      <c r="I22" s="470" t="s">
        <v>127</v>
      </c>
      <c r="J22" s="470" t="s">
        <v>136</v>
      </c>
      <c r="K22" s="470" t="s">
        <v>136</v>
      </c>
      <c r="L22" s="470" t="s">
        <v>136</v>
      </c>
      <c r="M22" s="470"/>
      <c r="N22" s="470" t="s">
        <v>136</v>
      </c>
      <c r="O22" s="470" t="s">
        <v>136</v>
      </c>
      <c r="P22" s="470" t="s">
        <v>127</v>
      </c>
    </row>
    <row r="23" spans="1:16" s="502" customFormat="1">
      <c r="A23" s="233">
        <f t="shared" si="0"/>
        <v>14</v>
      </c>
      <c r="B23" s="19" t="s">
        <v>37</v>
      </c>
      <c r="C23" s="470" t="s">
        <v>136</v>
      </c>
      <c r="D23" s="470" t="s">
        <v>136</v>
      </c>
      <c r="E23" s="470" t="s">
        <v>127</v>
      </c>
      <c r="F23" s="470" t="s">
        <v>136</v>
      </c>
      <c r="G23" s="470" t="s">
        <v>136</v>
      </c>
      <c r="H23" s="470" t="s">
        <v>136</v>
      </c>
      <c r="I23" s="470" t="s">
        <v>127</v>
      </c>
      <c r="J23" s="470" t="s">
        <v>136</v>
      </c>
      <c r="K23" s="470" t="s">
        <v>136</v>
      </c>
      <c r="L23" s="470" t="s">
        <v>136</v>
      </c>
      <c r="M23" s="470"/>
      <c r="N23" s="470" t="s">
        <v>136</v>
      </c>
      <c r="O23" s="470" t="s">
        <v>136</v>
      </c>
      <c r="P23" s="470" t="s">
        <v>136</v>
      </c>
    </row>
    <row r="24" spans="1:16">
      <c r="A24" s="233">
        <f t="shared" si="0"/>
        <v>15</v>
      </c>
      <c r="B24" s="19" t="s">
        <v>14</v>
      </c>
      <c r="C24" s="470" t="s">
        <v>136</v>
      </c>
      <c r="D24" s="470" t="s">
        <v>127</v>
      </c>
      <c r="E24" s="470" t="s">
        <v>127</v>
      </c>
      <c r="F24" s="470" t="s">
        <v>127</v>
      </c>
      <c r="G24" s="470" t="s">
        <v>136</v>
      </c>
      <c r="H24" s="470" t="s">
        <v>136</v>
      </c>
      <c r="I24" s="470" t="s">
        <v>127</v>
      </c>
      <c r="J24" s="470" t="s">
        <v>127</v>
      </c>
      <c r="K24" s="470" t="s">
        <v>127</v>
      </c>
      <c r="L24" s="470" t="s">
        <v>127</v>
      </c>
      <c r="M24" s="470"/>
      <c r="N24" s="470" t="s">
        <v>136</v>
      </c>
      <c r="O24" s="470" t="s">
        <v>136</v>
      </c>
      <c r="P24" s="470" t="s">
        <v>136</v>
      </c>
    </row>
    <row r="25" spans="1:16">
      <c r="A25" s="233">
        <f t="shared" si="0"/>
        <v>16</v>
      </c>
      <c r="B25" s="19" t="s">
        <v>1363</v>
      </c>
      <c r="C25" s="470" t="s">
        <v>136</v>
      </c>
      <c r="D25" s="470" t="s">
        <v>127</v>
      </c>
      <c r="E25" s="470" t="s">
        <v>127</v>
      </c>
      <c r="F25" s="470" t="s">
        <v>127</v>
      </c>
      <c r="G25" s="470" t="s">
        <v>127</v>
      </c>
      <c r="H25" s="470" t="s">
        <v>136</v>
      </c>
      <c r="I25" s="470" t="s">
        <v>136</v>
      </c>
      <c r="J25" s="470" t="s">
        <v>127</v>
      </c>
      <c r="K25" s="470" t="s">
        <v>127</v>
      </c>
      <c r="L25" s="470" t="s">
        <v>127</v>
      </c>
      <c r="M25" s="470"/>
      <c r="N25" s="470" t="s">
        <v>127</v>
      </c>
      <c r="O25" s="470" t="s">
        <v>127</v>
      </c>
      <c r="P25" s="470" t="s">
        <v>127</v>
      </c>
    </row>
    <row r="26" spans="1:16">
      <c r="A26" s="233">
        <f t="shared" si="0"/>
        <v>17</v>
      </c>
      <c r="B26" s="19" t="s">
        <v>42</v>
      </c>
      <c r="C26" s="470" t="s">
        <v>136</v>
      </c>
      <c r="D26" s="470" t="s">
        <v>127</v>
      </c>
      <c r="E26" s="470" t="s">
        <v>127</v>
      </c>
      <c r="F26" s="470" t="s">
        <v>127</v>
      </c>
      <c r="G26" s="470" t="s">
        <v>136</v>
      </c>
      <c r="H26" s="470" t="s">
        <v>136</v>
      </c>
      <c r="I26" s="470" t="s">
        <v>136</v>
      </c>
      <c r="J26" s="470" t="s">
        <v>127</v>
      </c>
      <c r="K26" s="470" t="s">
        <v>136</v>
      </c>
      <c r="L26" s="470" t="s">
        <v>136</v>
      </c>
      <c r="M26" s="470"/>
      <c r="N26" s="470" t="s">
        <v>136</v>
      </c>
      <c r="O26" s="470" t="s">
        <v>136</v>
      </c>
      <c r="P26" s="470" t="s">
        <v>136</v>
      </c>
    </row>
    <row r="27" spans="1:16">
      <c r="A27" s="233">
        <f t="shared" si="0"/>
        <v>18</v>
      </c>
      <c r="B27" s="19" t="s">
        <v>44</v>
      </c>
      <c r="C27" s="470" t="s">
        <v>136</v>
      </c>
      <c r="D27" s="470" t="s">
        <v>127</v>
      </c>
      <c r="E27" s="470" t="s">
        <v>127</v>
      </c>
      <c r="F27" s="732" t="s">
        <v>136</v>
      </c>
      <c r="G27" s="470" t="s">
        <v>136</v>
      </c>
      <c r="H27" s="732" t="s">
        <v>136</v>
      </c>
      <c r="I27" s="732" t="s">
        <v>136</v>
      </c>
      <c r="J27" s="470" t="s">
        <v>127</v>
      </c>
      <c r="K27" s="470" t="s">
        <v>136</v>
      </c>
      <c r="L27" s="470" t="s">
        <v>136</v>
      </c>
      <c r="M27" s="470"/>
      <c r="N27" s="732" t="s">
        <v>136</v>
      </c>
      <c r="O27" s="470" t="s">
        <v>127</v>
      </c>
      <c r="P27" s="292" t="s">
        <v>127</v>
      </c>
    </row>
    <row r="28" spans="1:16">
      <c r="A28" s="233">
        <f t="shared" si="0"/>
        <v>19</v>
      </c>
      <c r="B28" s="19" t="s">
        <v>16</v>
      </c>
      <c r="C28" s="470" t="s">
        <v>138</v>
      </c>
      <c r="D28" s="470" t="s">
        <v>136</v>
      </c>
      <c r="E28" s="470" t="s">
        <v>136</v>
      </c>
      <c r="F28" s="470" t="s">
        <v>136</v>
      </c>
      <c r="G28" s="470" t="s">
        <v>136</v>
      </c>
      <c r="H28" s="470" t="s">
        <v>136</v>
      </c>
      <c r="I28" s="470" t="s">
        <v>127</v>
      </c>
      <c r="J28" s="470" t="s">
        <v>136</v>
      </c>
      <c r="K28" s="470" t="s">
        <v>136</v>
      </c>
      <c r="L28" s="470" t="s">
        <v>136</v>
      </c>
      <c r="M28" s="470"/>
      <c r="N28" s="470" t="s">
        <v>136</v>
      </c>
      <c r="O28" s="470" t="s">
        <v>127</v>
      </c>
      <c r="P28" s="470" t="s">
        <v>136</v>
      </c>
    </row>
    <row r="29" spans="1:16">
      <c r="A29" s="233">
        <f t="shared" si="0"/>
        <v>20</v>
      </c>
      <c r="B29" s="19" t="s">
        <v>17</v>
      </c>
      <c r="C29" s="470" t="s">
        <v>136</v>
      </c>
      <c r="D29" s="470" t="s">
        <v>136</v>
      </c>
      <c r="E29" s="470" t="s">
        <v>127</v>
      </c>
      <c r="F29" s="470" t="s">
        <v>136</v>
      </c>
      <c r="G29" s="470" t="s">
        <v>136</v>
      </c>
      <c r="H29" s="470" t="s">
        <v>136</v>
      </c>
      <c r="I29" s="470" t="s">
        <v>136</v>
      </c>
      <c r="J29" s="470" t="s">
        <v>136</v>
      </c>
      <c r="K29" s="470" t="s">
        <v>136</v>
      </c>
      <c r="L29" s="470" t="s">
        <v>136</v>
      </c>
      <c r="M29" s="470"/>
      <c r="N29" s="470" t="s">
        <v>136</v>
      </c>
      <c r="O29" s="470" t="s">
        <v>127</v>
      </c>
      <c r="P29" s="470" t="s">
        <v>136</v>
      </c>
    </row>
    <row r="30" spans="1:16" ht="16" thickBot="1">
      <c r="B30" s="460" t="s">
        <v>1</v>
      </c>
      <c r="C30" s="487">
        <f t="shared" ref="C30:P30" si="1">COUNTIF(C10:C29,"✓")</f>
        <v>19</v>
      </c>
      <c r="D30" s="487">
        <f t="shared" si="1"/>
        <v>8</v>
      </c>
      <c r="E30" s="487">
        <f t="shared" si="1"/>
        <v>8</v>
      </c>
      <c r="F30" s="487">
        <f t="shared" si="1"/>
        <v>12</v>
      </c>
      <c r="G30" s="487">
        <f t="shared" si="1"/>
        <v>19</v>
      </c>
      <c r="H30" s="487">
        <f t="shared" si="1"/>
        <v>20</v>
      </c>
      <c r="I30" s="487">
        <f t="shared" si="1"/>
        <v>8</v>
      </c>
      <c r="J30" s="487">
        <f t="shared" si="1"/>
        <v>10</v>
      </c>
      <c r="K30" s="487">
        <f t="shared" si="1"/>
        <v>15</v>
      </c>
      <c r="L30" s="487">
        <f t="shared" si="1"/>
        <v>15</v>
      </c>
      <c r="M30" s="470"/>
      <c r="N30" s="487">
        <f t="shared" si="1"/>
        <v>14</v>
      </c>
      <c r="O30" s="487">
        <f t="shared" si="1"/>
        <v>12</v>
      </c>
      <c r="P30" s="487">
        <f t="shared" si="1"/>
        <v>13</v>
      </c>
    </row>
    <row r="31" spans="1:16" ht="16" thickTop="1"/>
    <row r="32" spans="1:16" s="462" customFormat="1" ht="13">
      <c r="A32" s="488" t="s">
        <v>1232</v>
      </c>
      <c r="C32" s="463"/>
      <c r="D32" s="463"/>
      <c r="E32" s="463"/>
      <c r="F32" s="463"/>
      <c r="G32" s="463"/>
      <c r="H32" s="463"/>
      <c r="I32" s="463"/>
      <c r="J32" s="463"/>
      <c r="K32" s="463"/>
      <c r="L32" s="503"/>
      <c r="M32" s="463"/>
      <c r="O32" s="463"/>
      <c r="P32" s="463"/>
    </row>
    <row r="33" spans="1:16" s="462" customFormat="1" ht="13">
      <c r="A33" s="504"/>
      <c r="B33" s="1441" t="s">
        <v>1459</v>
      </c>
      <c r="C33" s="1441"/>
      <c r="D33" s="1441"/>
      <c r="E33" s="1441"/>
      <c r="F33" s="1441"/>
      <c r="G33" s="1441"/>
      <c r="H33" s="1441"/>
      <c r="I33" s="1441"/>
      <c r="J33" s="1441"/>
      <c r="K33" s="1441"/>
      <c r="L33" s="1441"/>
      <c r="M33" s="1441"/>
      <c r="N33" s="1441"/>
      <c r="O33" s="1441"/>
      <c r="P33" s="463"/>
    </row>
    <row r="34" spans="1:16" s="462" customFormat="1" ht="13">
      <c r="A34" s="504"/>
      <c r="B34" s="1441"/>
      <c r="C34" s="1441"/>
      <c r="D34" s="1441"/>
      <c r="E34" s="1441"/>
      <c r="F34" s="1441"/>
      <c r="G34" s="1441"/>
      <c r="H34" s="1441"/>
      <c r="I34" s="1441"/>
      <c r="J34" s="1441"/>
      <c r="K34" s="1441"/>
      <c r="L34" s="1441"/>
      <c r="M34" s="1441"/>
      <c r="N34" s="1441"/>
      <c r="O34" s="1441"/>
      <c r="P34" s="463"/>
    </row>
    <row r="35" spans="1:16" s="462" customFormat="1" ht="13">
      <c r="B35" s="462" t="str">
        <f>"See "&amp;P1&amp;", pages 2-6."</f>
        <v>See Exhibit AMM-3, pages 2-6.</v>
      </c>
      <c r="C35" s="463"/>
      <c r="D35" s="463"/>
      <c r="E35" s="463"/>
      <c r="F35" s="463"/>
      <c r="G35" s="463"/>
      <c r="H35" s="463"/>
      <c r="I35" s="463"/>
      <c r="J35" s="463"/>
      <c r="K35" s="463"/>
      <c r="L35" s="503"/>
      <c r="M35" s="463"/>
      <c r="O35" s="463"/>
      <c r="P35" s="463"/>
    </row>
    <row r="36" spans="1:16" s="462" customFormat="1" ht="5.15" customHeight="1">
      <c r="C36" s="463"/>
      <c r="D36" s="463"/>
      <c r="E36" s="463"/>
      <c r="F36" s="463"/>
      <c r="G36" s="463"/>
      <c r="H36" s="463"/>
      <c r="I36" s="463"/>
      <c r="J36" s="463"/>
      <c r="K36" s="463"/>
      <c r="L36" s="503"/>
      <c r="M36" s="463"/>
      <c r="O36" s="463"/>
      <c r="P36" s="463"/>
    </row>
    <row r="37" spans="1:16" s="462" customFormat="1" ht="13" customHeight="1">
      <c r="A37" s="462" t="s">
        <v>140</v>
      </c>
      <c r="C37" s="463"/>
      <c r="D37" s="463"/>
      <c r="E37" s="463"/>
      <c r="F37" s="463"/>
      <c r="G37" s="463"/>
      <c r="H37" s="463"/>
      <c r="I37" s="463"/>
      <c r="J37" s="463"/>
      <c r="K37" s="463"/>
      <c r="L37" s="503"/>
      <c r="M37" s="463"/>
      <c r="O37" s="463"/>
      <c r="P37" s="463"/>
    </row>
    <row r="39" spans="1:16">
      <c r="D39" s="505"/>
      <c r="F39" s="505"/>
      <c r="H39" s="1442"/>
      <c r="I39" s="1442"/>
      <c r="J39" s="1442"/>
      <c r="L39" s="505"/>
      <c r="N39" s="505"/>
      <c r="P39" s="505"/>
    </row>
  </sheetData>
  <mergeCells count="5">
    <mergeCell ref="N5:P5"/>
    <mergeCell ref="H7:H8"/>
    <mergeCell ref="B33:O34"/>
    <mergeCell ref="H39:J39"/>
    <mergeCell ref="C5:L5"/>
  </mergeCells>
  <printOptions horizontalCentered="1"/>
  <pageMargins left="0.5" right="0.5" top="0.75" bottom="0.25" header="0.5" footer="0.5"/>
  <pageSetup scale="78" firstPageNumber="2" fitToHeight="7"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FCE54-381F-40BD-B51D-24E721276844}">
  <sheetPr codeName="Sheet30"/>
  <dimension ref="A1:Q104"/>
  <sheetViews>
    <sheetView view="pageBreakPreview" topLeftCell="C1" zoomScaleNormal="100" zoomScaleSheetLayoutView="100" workbookViewId="0">
      <selection activeCell="C1" sqref="C1"/>
    </sheetView>
  </sheetViews>
  <sheetFormatPr defaultColWidth="9" defaultRowHeight="15.5"/>
  <cols>
    <col min="1" max="1" width="3.1796875" style="233" bestFit="1" customWidth="1"/>
    <col min="2" max="2" width="36.453125" style="214" customWidth="1"/>
    <col min="3" max="3" width="7.81640625" style="470" bestFit="1" customWidth="1"/>
    <col min="4" max="4" width="12.81640625" style="470" bestFit="1" customWidth="1"/>
    <col min="5" max="5" width="5.453125" style="470" bestFit="1" customWidth="1"/>
    <col min="6" max="6" width="8.1796875" style="470" bestFit="1" customWidth="1"/>
    <col min="7" max="7" width="8.81640625" style="470" bestFit="1" customWidth="1"/>
    <col min="8" max="8" width="13.1796875" style="470" bestFit="1" customWidth="1"/>
    <col min="9" max="9" width="7.453125" style="470" customWidth="1"/>
    <col min="10" max="12" width="8.1796875" style="470" customWidth="1"/>
    <col min="13" max="13" width="12.453125" style="470" bestFit="1" customWidth="1"/>
    <col min="14" max="14" width="1" style="470" customWidth="1"/>
    <col min="15" max="15" width="15.81640625" style="470" bestFit="1" customWidth="1"/>
    <col min="16" max="16" width="13.81640625" style="214" bestFit="1" customWidth="1"/>
    <col min="17" max="17" width="7.1796875" style="470" bestFit="1" customWidth="1"/>
    <col min="18" max="16384" width="9" style="214"/>
  </cols>
  <sheetData>
    <row r="1" spans="1:17">
      <c r="B1" s="733"/>
      <c r="C1" s="733"/>
      <c r="D1" s="734"/>
      <c r="E1" s="734"/>
      <c r="F1" s="734"/>
      <c r="G1" s="734"/>
      <c r="H1" s="734"/>
      <c r="I1" s="734"/>
      <c r="J1" s="734"/>
      <c r="K1" s="734"/>
      <c r="L1" s="734"/>
      <c r="M1" s="734"/>
      <c r="O1" s="734"/>
      <c r="P1" s="733"/>
      <c r="Q1" s="735"/>
    </row>
    <row r="2" spans="1:17">
      <c r="B2" s="733"/>
      <c r="C2" s="733"/>
      <c r="D2" s="734"/>
      <c r="E2" s="734"/>
      <c r="F2" s="734"/>
      <c r="G2" s="734"/>
      <c r="H2" s="734"/>
      <c r="I2" s="734"/>
      <c r="J2" s="734"/>
      <c r="K2" s="734"/>
      <c r="L2" s="734"/>
      <c r="M2" s="734"/>
      <c r="O2" s="734"/>
      <c r="P2" s="733"/>
      <c r="Q2" s="734"/>
    </row>
    <row r="3" spans="1:17">
      <c r="B3" s="470"/>
      <c r="P3" s="470"/>
    </row>
    <row r="5" spans="1:17">
      <c r="A5" s="471"/>
    </row>
    <row r="6" spans="1:17" ht="15" customHeight="1">
      <c r="B6" s="472"/>
      <c r="C6" s="736"/>
      <c r="D6" s="1443" t="s">
        <v>1409</v>
      </c>
      <c r="E6" s="1443"/>
      <c r="F6" s="1443"/>
      <c r="G6" s="1443"/>
      <c r="H6" s="1443"/>
      <c r="I6" s="1443"/>
      <c r="J6" s="1443"/>
      <c r="K6" s="1443"/>
      <c r="L6" s="1443"/>
      <c r="M6" s="1443"/>
      <c r="N6" s="736"/>
      <c r="O6" s="1443" t="s">
        <v>1410</v>
      </c>
      <c r="P6" s="1443"/>
      <c r="Q6" s="1443"/>
    </row>
    <row r="7" spans="1:17">
      <c r="A7" s="214"/>
      <c r="B7" s="475"/>
      <c r="C7" s="738"/>
      <c r="D7" s="739"/>
      <c r="E7" s="739"/>
      <c r="F7" s="739"/>
      <c r="G7" s="739"/>
      <c r="H7" s="739" t="s">
        <v>1411</v>
      </c>
      <c r="I7" s="739"/>
      <c r="J7" s="475"/>
      <c r="K7" s="475"/>
      <c r="L7" s="739"/>
      <c r="M7" s="475"/>
      <c r="N7" s="736"/>
      <c r="O7" s="739" t="s">
        <v>1412</v>
      </c>
      <c r="P7" s="739" t="s">
        <v>1413</v>
      </c>
      <c r="Q7" s="739" t="s">
        <v>133</v>
      </c>
    </row>
    <row r="8" spans="1:17" ht="15" customHeight="1">
      <c r="A8" s="214"/>
      <c r="B8" s="475"/>
      <c r="C8" s="738"/>
      <c r="D8" s="739" t="s">
        <v>1414</v>
      </c>
      <c r="E8" s="739" t="s">
        <v>1415</v>
      </c>
      <c r="F8" s="739"/>
      <c r="G8" s="739" t="s">
        <v>1416</v>
      </c>
      <c r="H8" s="739" t="s">
        <v>1417</v>
      </c>
      <c r="I8" s="1444" t="s">
        <v>1418</v>
      </c>
      <c r="J8" s="739" t="s">
        <v>1419</v>
      </c>
      <c r="K8" s="739" t="s">
        <v>1420</v>
      </c>
      <c r="L8" s="739" t="s">
        <v>1421</v>
      </c>
      <c r="M8" s="739"/>
      <c r="N8" s="736"/>
      <c r="O8" s="739" t="s">
        <v>1422</v>
      </c>
      <c r="P8" s="739" t="s">
        <v>1423</v>
      </c>
      <c r="Q8" s="739" t="s">
        <v>134</v>
      </c>
    </row>
    <row r="9" spans="1:17" ht="15.65" customHeight="1">
      <c r="A9" s="227"/>
      <c r="B9" s="221" t="s">
        <v>78</v>
      </c>
      <c r="C9" s="737" t="s">
        <v>141</v>
      </c>
      <c r="D9" s="740" t="s">
        <v>1560</v>
      </c>
      <c r="E9" s="740" t="s">
        <v>458</v>
      </c>
      <c r="F9" s="740" t="s">
        <v>1424</v>
      </c>
      <c r="G9" s="740" t="s">
        <v>1425</v>
      </c>
      <c r="H9" s="740" t="s">
        <v>1426</v>
      </c>
      <c r="I9" s="1445"/>
      <c r="J9" s="737" t="s">
        <v>1427</v>
      </c>
      <c r="K9" s="737" t="s">
        <v>1428</v>
      </c>
      <c r="L9" s="740" t="s">
        <v>1429</v>
      </c>
      <c r="M9" s="740" t="s">
        <v>1561</v>
      </c>
      <c r="N9" s="736"/>
      <c r="O9" s="737" t="s">
        <v>1430</v>
      </c>
      <c r="P9" s="737" t="s">
        <v>1431</v>
      </c>
      <c r="Q9" s="740" t="s">
        <v>135</v>
      </c>
    </row>
    <row r="10" spans="1:17">
      <c r="A10" s="228">
        <v>1</v>
      </c>
      <c r="B10" s="213" t="s">
        <v>143</v>
      </c>
      <c r="C10" s="219"/>
      <c r="D10" s="479"/>
      <c r="E10" s="479"/>
      <c r="F10" s="479"/>
      <c r="G10" s="479"/>
      <c r="H10" s="479"/>
      <c r="I10" s="479"/>
      <c r="J10" s="480"/>
      <c r="K10" s="214"/>
      <c r="L10" s="389"/>
      <c r="M10" s="214"/>
      <c r="O10" s="479"/>
      <c r="P10" s="481"/>
      <c r="Q10" s="481"/>
    </row>
    <row r="11" spans="1:17">
      <c r="A11" s="228"/>
      <c r="B11" s="214" t="s">
        <v>144</v>
      </c>
      <c r="C11" s="470" t="s">
        <v>145</v>
      </c>
      <c r="D11" s="482" t="s">
        <v>136</v>
      </c>
      <c r="E11" s="483" t="s">
        <v>127</v>
      </c>
      <c r="F11" s="482" t="s">
        <v>136</v>
      </c>
      <c r="G11" s="483" t="s">
        <v>127</v>
      </c>
      <c r="H11" s="482" t="s">
        <v>136</v>
      </c>
      <c r="I11" s="482" t="s">
        <v>136</v>
      </c>
      <c r="J11" s="483" t="s">
        <v>127</v>
      </c>
      <c r="K11" s="483" t="s">
        <v>127</v>
      </c>
      <c r="L11" s="483" t="s">
        <v>136</v>
      </c>
      <c r="M11" s="483" t="s">
        <v>127</v>
      </c>
      <c r="O11" s="292" t="s">
        <v>136</v>
      </c>
      <c r="P11" s="292" t="s">
        <v>136</v>
      </c>
      <c r="Q11" s="483" t="s">
        <v>136</v>
      </c>
    </row>
    <row r="12" spans="1:17">
      <c r="A12" s="228"/>
      <c r="B12" s="214" t="s">
        <v>146</v>
      </c>
      <c r="C12" s="470" t="s">
        <v>147</v>
      </c>
      <c r="D12" s="482" t="s">
        <v>136</v>
      </c>
      <c r="E12" s="482" t="s">
        <v>136</v>
      </c>
      <c r="F12" s="482" t="s">
        <v>136</v>
      </c>
      <c r="G12" s="483" t="s">
        <v>127</v>
      </c>
      <c r="H12" s="482" t="s">
        <v>136</v>
      </c>
      <c r="I12" s="483" t="s">
        <v>127</v>
      </c>
      <c r="J12" s="483" t="s">
        <v>127</v>
      </c>
      <c r="K12" s="483" t="s">
        <v>127</v>
      </c>
      <c r="L12" s="483" t="s">
        <v>136</v>
      </c>
      <c r="M12" s="483" t="s">
        <v>127</v>
      </c>
      <c r="O12" s="483" t="s">
        <v>127</v>
      </c>
      <c r="P12" s="483" t="s">
        <v>136</v>
      </c>
      <c r="Q12" s="483" t="s">
        <v>136</v>
      </c>
    </row>
    <row r="13" spans="1:17">
      <c r="A13" s="228">
        <f>MAX(A$10:A12)+1</f>
        <v>2</v>
      </c>
      <c r="B13" s="213" t="s">
        <v>1395</v>
      </c>
      <c r="C13" s="219"/>
      <c r="D13" s="479"/>
      <c r="E13" s="479"/>
      <c r="F13" s="479"/>
      <c r="G13" s="484"/>
      <c r="H13" s="479"/>
      <c r="I13" s="479"/>
      <c r="J13" s="480"/>
      <c r="K13" s="214"/>
      <c r="L13" s="389"/>
      <c r="M13" s="214"/>
      <c r="O13" s="479"/>
      <c r="Q13" s="481"/>
    </row>
    <row r="14" spans="1:17">
      <c r="B14" s="214" t="s">
        <v>154</v>
      </c>
      <c r="C14" s="470" t="s">
        <v>155</v>
      </c>
      <c r="D14" s="482" t="s">
        <v>136</v>
      </c>
      <c r="E14" s="483" t="s">
        <v>127</v>
      </c>
      <c r="F14" s="483" t="s">
        <v>127</v>
      </c>
      <c r="G14" s="483" t="s">
        <v>136</v>
      </c>
      <c r="H14" s="483" t="s">
        <v>136</v>
      </c>
      <c r="I14" s="482" t="s">
        <v>136</v>
      </c>
      <c r="J14" s="483" t="s">
        <v>127</v>
      </c>
      <c r="K14" s="483" t="s">
        <v>136</v>
      </c>
      <c r="L14" s="483" t="s">
        <v>136</v>
      </c>
      <c r="M14" s="483" t="s">
        <v>136</v>
      </c>
      <c r="O14" s="483" t="s">
        <v>136</v>
      </c>
      <c r="P14" s="483" t="s">
        <v>127</v>
      </c>
      <c r="Q14" s="292" t="s">
        <v>136</v>
      </c>
    </row>
    <row r="15" spans="1:17">
      <c r="A15" s="228"/>
      <c r="B15" s="214" t="s">
        <v>156</v>
      </c>
      <c r="C15" s="470" t="s">
        <v>157</v>
      </c>
      <c r="D15" s="482" t="s">
        <v>136</v>
      </c>
      <c r="E15" s="483" t="s">
        <v>127</v>
      </c>
      <c r="F15" s="483" t="s">
        <v>127</v>
      </c>
      <c r="G15" s="482" t="s">
        <v>136</v>
      </c>
      <c r="H15" s="483" t="s">
        <v>136</v>
      </c>
      <c r="I15" s="483" t="s">
        <v>127</v>
      </c>
      <c r="J15" s="483" t="s">
        <v>127</v>
      </c>
      <c r="K15" s="483" t="s">
        <v>136</v>
      </c>
      <c r="L15" s="483" t="s">
        <v>136</v>
      </c>
      <c r="M15" s="483" t="s">
        <v>136</v>
      </c>
      <c r="O15" s="483" t="s">
        <v>127</v>
      </c>
      <c r="P15" s="483" t="s">
        <v>127</v>
      </c>
      <c r="Q15" s="292" t="s">
        <v>136</v>
      </c>
    </row>
    <row r="16" spans="1:17">
      <c r="A16" s="228"/>
      <c r="B16" s="214" t="s">
        <v>158</v>
      </c>
      <c r="C16" s="470" t="s">
        <v>159</v>
      </c>
      <c r="D16" s="482" t="s">
        <v>136</v>
      </c>
      <c r="E16" s="483" t="s">
        <v>127</v>
      </c>
      <c r="F16" s="483" t="s">
        <v>127</v>
      </c>
      <c r="G16" s="483" t="s">
        <v>136</v>
      </c>
      <c r="H16" s="483" t="s">
        <v>136</v>
      </c>
      <c r="I16" s="482" t="s">
        <v>136</v>
      </c>
      <c r="J16" s="483" t="s">
        <v>127</v>
      </c>
      <c r="K16" s="483" t="s">
        <v>127</v>
      </c>
      <c r="L16" s="483" t="s">
        <v>127</v>
      </c>
      <c r="M16" s="483" t="s">
        <v>127</v>
      </c>
      <c r="O16" s="483" t="s">
        <v>127</v>
      </c>
      <c r="P16" s="483" t="s">
        <v>127</v>
      </c>
      <c r="Q16" s="483" t="s">
        <v>127</v>
      </c>
    </row>
    <row r="17" spans="1:17">
      <c r="A17" s="228"/>
      <c r="B17" s="214" t="s">
        <v>154</v>
      </c>
      <c r="C17" s="470" t="s">
        <v>160</v>
      </c>
      <c r="D17" s="482" t="s">
        <v>136</v>
      </c>
      <c r="E17" s="483" t="s">
        <v>127</v>
      </c>
      <c r="F17" s="483" t="s">
        <v>127</v>
      </c>
      <c r="G17" s="483" t="s">
        <v>127</v>
      </c>
      <c r="H17" s="483" t="s">
        <v>136</v>
      </c>
      <c r="I17" s="482" t="s">
        <v>136</v>
      </c>
      <c r="J17" s="483" t="s">
        <v>127</v>
      </c>
      <c r="K17" s="483" t="s">
        <v>136</v>
      </c>
      <c r="L17" s="483" t="s">
        <v>136</v>
      </c>
      <c r="M17" s="483" t="s">
        <v>136</v>
      </c>
      <c r="O17" s="483" t="s">
        <v>136</v>
      </c>
      <c r="P17" s="483" t="s">
        <v>127</v>
      </c>
      <c r="Q17" s="483" t="s">
        <v>127</v>
      </c>
    </row>
    <row r="18" spans="1:17">
      <c r="A18" s="228"/>
      <c r="B18" s="214" t="s">
        <v>156</v>
      </c>
      <c r="C18" s="470" t="s">
        <v>161</v>
      </c>
      <c r="D18" s="482" t="s">
        <v>136</v>
      </c>
      <c r="E18" s="483" t="s">
        <v>127</v>
      </c>
      <c r="F18" s="483" t="s">
        <v>127</v>
      </c>
      <c r="G18" s="483" t="s">
        <v>127</v>
      </c>
      <c r="H18" s="483" t="s">
        <v>136</v>
      </c>
      <c r="I18" s="483" t="s">
        <v>127</v>
      </c>
      <c r="J18" s="483" t="s">
        <v>127</v>
      </c>
      <c r="K18" s="483" t="s">
        <v>136</v>
      </c>
      <c r="L18" s="483" t="s">
        <v>136</v>
      </c>
      <c r="M18" s="483" t="s">
        <v>136</v>
      </c>
      <c r="O18" s="483" t="s">
        <v>127</v>
      </c>
      <c r="P18" s="483" t="s">
        <v>127</v>
      </c>
      <c r="Q18" s="292" t="s">
        <v>136</v>
      </c>
    </row>
    <row r="19" spans="1:17">
      <c r="A19" s="228"/>
      <c r="B19" s="214" t="s">
        <v>162</v>
      </c>
      <c r="C19" s="470" t="s">
        <v>163</v>
      </c>
      <c r="D19" s="482" t="s">
        <v>138</v>
      </c>
      <c r="E19" s="483" t="s">
        <v>136</v>
      </c>
      <c r="F19" s="483" t="s">
        <v>127</v>
      </c>
      <c r="G19" s="483" t="s">
        <v>127</v>
      </c>
      <c r="H19" s="483" t="s">
        <v>127</v>
      </c>
      <c r="I19" s="482" t="s">
        <v>136</v>
      </c>
      <c r="J19" s="483" t="s">
        <v>127</v>
      </c>
      <c r="K19" s="483" t="s">
        <v>136</v>
      </c>
      <c r="L19" s="483" t="s">
        <v>136</v>
      </c>
      <c r="M19" s="483" t="s">
        <v>136</v>
      </c>
      <c r="O19" s="483" t="s">
        <v>136</v>
      </c>
      <c r="P19" s="483" t="s">
        <v>127</v>
      </c>
      <c r="Q19" s="292" t="s">
        <v>136</v>
      </c>
    </row>
    <row r="20" spans="1:17">
      <c r="A20" s="228"/>
      <c r="B20" s="214" t="s">
        <v>164</v>
      </c>
      <c r="C20" s="470" t="s">
        <v>165</v>
      </c>
      <c r="D20" s="482" t="s">
        <v>136</v>
      </c>
      <c r="E20" s="483" t="s">
        <v>127</v>
      </c>
      <c r="F20" s="483" t="s">
        <v>127</v>
      </c>
      <c r="G20" s="483" t="s">
        <v>127</v>
      </c>
      <c r="H20" s="483" t="s">
        <v>136</v>
      </c>
      <c r="I20" s="483" t="s">
        <v>127</v>
      </c>
      <c r="J20" s="483" t="s">
        <v>127</v>
      </c>
      <c r="K20" s="483" t="s">
        <v>127</v>
      </c>
      <c r="L20" s="483" t="s">
        <v>127</v>
      </c>
      <c r="M20" s="483" t="s">
        <v>136</v>
      </c>
      <c r="O20" s="483" t="s">
        <v>127</v>
      </c>
      <c r="P20" s="483" t="s">
        <v>127</v>
      </c>
      <c r="Q20" s="292" t="s">
        <v>127</v>
      </c>
    </row>
    <row r="21" spans="1:17">
      <c r="A21" s="228"/>
      <c r="B21" s="214" t="s">
        <v>166</v>
      </c>
      <c r="C21" s="470" t="s">
        <v>167</v>
      </c>
      <c r="D21" s="482" t="s">
        <v>136</v>
      </c>
      <c r="E21" s="483" t="s">
        <v>127</v>
      </c>
      <c r="F21" s="483" t="s">
        <v>127</v>
      </c>
      <c r="G21" s="482" t="s">
        <v>136</v>
      </c>
      <c r="H21" s="483" t="s">
        <v>127</v>
      </c>
      <c r="I21" s="482" t="s">
        <v>136</v>
      </c>
      <c r="J21" s="483" t="s">
        <v>127</v>
      </c>
      <c r="K21" s="483" t="s">
        <v>136</v>
      </c>
      <c r="L21" s="483" t="s">
        <v>136</v>
      </c>
      <c r="M21" s="483" t="s">
        <v>127</v>
      </c>
      <c r="O21" s="483" t="s">
        <v>127</v>
      </c>
      <c r="P21" s="483" t="s">
        <v>127</v>
      </c>
      <c r="Q21" s="292" t="s">
        <v>136</v>
      </c>
    </row>
    <row r="22" spans="1:17">
      <c r="A22" s="228"/>
      <c r="B22" s="214" t="s">
        <v>168</v>
      </c>
      <c r="C22" s="470" t="s">
        <v>169</v>
      </c>
      <c r="D22" s="482" t="s">
        <v>138</v>
      </c>
      <c r="E22" s="483" t="s">
        <v>127</v>
      </c>
      <c r="F22" s="483" t="s">
        <v>127</v>
      </c>
      <c r="G22" s="483" t="s">
        <v>127</v>
      </c>
      <c r="H22" s="483" t="s">
        <v>136</v>
      </c>
      <c r="I22" s="483" t="s">
        <v>127</v>
      </c>
      <c r="J22" s="483" t="s">
        <v>127</v>
      </c>
      <c r="K22" s="483" t="s">
        <v>136</v>
      </c>
      <c r="L22" s="483" t="s">
        <v>136</v>
      </c>
      <c r="M22" s="483" t="s">
        <v>136</v>
      </c>
      <c r="O22" s="292" t="s">
        <v>136</v>
      </c>
      <c r="P22" s="483" t="s">
        <v>127</v>
      </c>
      <c r="Q22" s="292" t="s">
        <v>127</v>
      </c>
    </row>
    <row r="23" spans="1:17">
      <c r="A23" s="228"/>
      <c r="B23" s="214" t="s">
        <v>154</v>
      </c>
      <c r="C23" s="470" t="s">
        <v>169</v>
      </c>
      <c r="D23" s="482" t="s">
        <v>136</v>
      </c>
      <c r="E23" s="483" t="s">
        <v>127</v>
      </c>
      <c r="F23" s="483" t="s">
        <v>127</v>
      </c>
      <c r="G23" s="483" t="s">
        <v>127</v>
      </c>
      <c r="H23" s="483" t="s">
        <v>136</v>
      </c>
      <c r="I23" s="483" t="s">
        <v>127</v>
      </c>
      <c r="J23" s="483" t="s">
        <v>127</v>
      </c>
      <c r="K23" s="483" t="s">
        <v>136</v>
      </c>
      <c r="L23" s="483" t="s">
        <v>136</v>
      </c>
      <c r="M23" s="483" t="s">
        <v>127</v>
      </c>
      <c r="O23" s="483" t="s">
        <v>127</v>
      </c>
      <c r="P23" s="483" t="s">
        <v>127</v>
      </c>
      <c r="Q23" s="292" t="s">
        <v>127</v>
      </c>
    </row>
    <row r="24" spans="1:17">
      <c r="A24" s="228"/>
      <c r="B24" s="214" t="s">
        <v>170</v>
      </c>
      <c r="C24" s="470" t="s">
        <v>171</v>
      </c>
      <c r="D24" s="482" t="s">
        <v>136</v>
      </c>
      <c r="E24" s="483" t="s">
        <v>127</v>
      </c>
      <c r="F24" s="483" t="s">
        <v>127</v>
      </c>
      <c r="G24" s="483" t="s">
        <v>136</v>
      </c>
      <c r="H24" s="483" t="s">
        <v>136</v>
      </c>
      <c r="I24" s="483" t="s">
        <v>127</v>
      </c>
      <c r="J24" s="483" t="s">
        <v>127</v>
      </c>
      <c r="K24" s="483" t="s">
        <v>136</v>
      </c>
      <c r="L24" s="483" t="s">
        <v>136</v>
      </c>
      <c r="M24" s="483" t="s">
        <v>136</v>
      </c>
      <c r="O24" s="292" t="s">
        <v>127</v>
      </c>
      <c r="P24" s="483" t="s">
        <v>127</v>
      </c>
      <c r="Q24" s="292" t="s">
        <v>127</v>
      </c>
    </row>
    <row r="25" spans="1:17">
      <c r="A25" s="228"/>
      <c r="B25" s="214" t="s">
        <v>1396</v>
      </c>
      <c r="C25" s="470" t="s">
        <v>173</v>
      </c>
      <c r="D25" s="482" t="s">
        <v>136</v>
      </c>
      <c r="E25" s="483" t="s">
        <v>127</v>
      </c>
      <c r="F25" s="483" t="s">
        <v>127</v>
      </c>
      <c r="G25" s="483" t="s">
        <v>136</v>
      </c>
      <c r="H25" s="483" t="s">
        <v>136</v>
      </c>
      <c r="I25" s="482" t="s">
        <v>136</v>
      </c>
      <c r="J25" s="483" t="s">
        <v>127</v>
      </c>
      <c r="K25" s="483" t="s">
        <v>136</v>
      </c>
      <c r="L25" s="483" t="s">
        <v>136</v>
      </c>
      <c r="M25" s="483" t="s">
        <v>136</v>
      </c>
      <c r="O25" s="483" t="s">
        <v>127</v>
      </c>
      <c r="P25" s="483" t="s">
        <v>127</v>
      </c>
      <c r="Q25" s="292" t="s">
        <v>127</v>
      </c>
    </row>
    <row r="26" spans="1:17">
      <c r="A26" s="228">
        <f>MAX(A$10:A25)+1</f>
        <v>3</v>
      </c>
      <c r="B26" s="213" t="s">
        <v>1562</v>
      </c>
      <c r="C26" s="219"/>
      <c r="D26" s="479"/>
      <c r="E26" s="479"/>
      <c r="F26" s="479"/>
      <c r="G26" s="484"/>
      <c r="H26" s="479"/>
      <c r="I26" s="479"/>
      <c r="J26" s="480"/>
      <c r="K26" s="214"/>
      <c r="L26" s="389"/>
      <c r="M26" s="214"/>
      <c r="O26" s="479"/>
      <c r="P26" s="292"/>
      <c r="Q26" s="292"/>
    </row>
    <row r="27" spans="1:17">
      <c r="A27" s="228"/>
      <c r="B27" s="214" t="s">
        <v>1563</v>
      </c>
      <c r="C27" s="470" t="s">
        <v>1564</v>
      </c>
      <c r="D27" s="482" t="s">
        <v>136</v>
      </c>
      <c r="E27" s="483" t="s">
        <v>127</v>
      </c>
      <c r="F27" s="483" t="s">
        <v>127</v>
      </c>
      <c r="G27" s="483" t="s">
        <v>127</v>
      </c>
      <c r="H27" s="483" t="s">
        <v>127</v>
      </c>
      <c r="I27" s="483" t="s">
        <v>127</v>
      </c>
      <c r="J27" s="483" t="s">
        <v>127</v>
      </c>
      <c r="K27" s="483" t="s">
        <v>127</v>
      </c>
      <c r="L27" s="483" t="s">
        <v>127</v>
      </c>
      <c r="M27" s="483" t="s">
        <v>127</v>
      </c>
      <c r="O27" s="483" t="s">
        <v>127</v>
      </c>
      <c r="P27" s="483" t="s">
        <v>127</v>
      </c>
      <c r="Q27" s="292" t="s">
        <v>127</v>
      </c>
    </row>
    <row r="28" spans="1:17">
      <c r="A28" s="228"/>
      <c r="B28" s="214" t="s">
        <v>31</v>
      </c>
      <c r="C28" s="470" t="s">
        <v>222</v>
      </c>
      <c r="D28" s="482" t="s">
        <v>136</v>
      </c>
      <c r="E28" s="483" t="s">
        <v>127</v>
      </c>
      <c r="F28" s="483" t="s">
        <v>127</v>
      </c>
      <c r="G28" s="483" t="s">
        <v>127</v>
      </c>
      <c r="H28" s="483" t="s">
        <v>127</v>
      </c>
      <c r="I28" s="482" t="s">
        <v>136</v>
      </c>
      <c r="J28" s="483" t="s">
        <v>127</v>
      </c>
      <c r="K28" s="483" t="s">
        <v>127</v>
      </c>
      <c r="L28" s="483" t="s">
        <v>127</v>
      </c>
      <c r="M28" s="483" t="s">
        <v>127</v>
      </c>
      <c r="O28" s="483" t="s">
        <v>136</v>
      </c>
      <c r="P28" s="483" t="s">
        <v>127</v>
      </c>
      <c r="Q28" s="292" t="s">
        <v>127</v>
      </c>
    </row>
    <row r="29" spans="1:17">
      <c r="B29" s="214" t="s">
        <v>31</v>
      </c>
      <c r="C29" s="470" t="s">
        <v>1565</v>
      </c>
      <c r="D29" s="482" t="s">
        <v>136</v>
      </c>
      <c r="E29" s="483" t="s">
        <v>127</v>
      </c>
      <c r="F29" s="483" t="s">
        <v>127</v>
      </c>
      <c r="G29" s="483" t="s">
        <v>127</v>
      </c>
      <c r="H29" s="483" t="s">
        <v>136</v>
      </c>
      <c r="I29" s="482" t="s">
        <v>136</v>
      </c>
      <c r="J29" s="483" t="s">
        <v>127</v>
      </c>
      <c r="K29" s="483" t="s">
        <v>127</v>
      </c>
      <c r="L29" s="483" t="s">
        <v>127</v>
      </c>
      <c r="M29" s="483" t="s">
        <v>127</v>
      </c>
      <c r="O29" s="483" t="s">
        <v>136</v>
      </c>
      <c r="P29" s="483" t="s">
        <v>127</v>
      </c>
      <c r="Q29" s="292" t="s">
        <v>127</v>
      </c>
    </row>
    <row r="30" spans="1:17">
      <c r="A30" s="228">
        <f>MAX(A$10:A29)+1</f>
        <v>4</v>
      </c>
      <c r="B30" s="213" t="s">
        <v>1381</v>
      </c>
      <c r="C30" s="219"/>
      <c r="D30" s="479"/>
      <c r="E30" s="479"/>
      <c r="F30" s="479"/>
      <c r="G30" s="484"/>
      <c r="H30" s="479"/>
      <c r="I30" s="479"/>
      <c r="J30" s="480"/>
      <c r="K30" s="214"/>
      <c r="L30" s="389"/>
      <c r="M30" s="214"/>
      <c r="O30" s="479"/>
      <c r="P30" s="292"/>
      <c r="Q30" s="292"/>
    </row>
    <row r="31" spans="1:17">
      <c r="A31" s="228"/>
      <c r="B31" s="214" t="s">
        <v>1397</v>
      </c>
      <c r="C31" s="470" t="s">
        <v>233</v>
      </c>
      <c r="D31" s="482" t="s">
        <v>136</v>
      </c>
      <c r="E31" s="483" t="s">
        <v>127</v>
      </c>
      <c r="F31" s="483" t="s">
        <v>127</v>
      </c>
      <c r="G31" s="483" t="s">
        <v>127</v>
      </c>
      <c r="H31" s="483" t="s">
        <v>136</v>
      </c>
      <c r="I31" s="482" t="s">
        <v>136</v>
      </c>
      <c r="J31" s="483" t="s">
        <v>127</v>
      </c>
      <c r="K31" s="483" t="s">
        <v>127</v>
      </c>
      <c r="L31" s="483" t="s">
        <v>136</v>
      </c>
      <c r="M31" s="483" t="s">
        <v>136</v>
      </c>
      <c r="O31" s="483" t="s">
        <v>127</v>
      </c>
      <c r="P31" s="483" t="s">
        <v>127</v>
      </c>
      <c r="Q31" s="292" t="s">
        <v>127</v>
      </c>
    </row>
    <row r="32" spans="1:17">
      <c r="A32" s="228"/>
      <c r="B32" s="214" t="s">
        <v>1398</v>
      </c>
      <c r="C32" s="470" t="s">
        <v>237</v>
      </c>
      <c r="D32" s="482" t="s">
        <v>136</v>
      </c>
      <c r="E32" s="483" t="s">
        <v>127</v>
      </c>
      <c r="F32" s="483" t="s">
        <v>127</v>
      </c>
      <c r="G32" s="483" t="s">
        <v>136</v>
      </c>
      <c r="H32" s="483" t="s">
        <v>127</v>
      </c>
      <c r="I32" s="483" t="s">
        <v>127</v>
      </c>
      <c r="J32" s="483" t="s">
        <v>127</v>
      </c>
      <c r="K32" s="483" t="s">
        <v>127</v>
      </c>
      <c r="L32" s="483" t="s">
        <v>136</v>
      </c>
      <c r="M32" s="483" t="s">
        <v>127</v>
      </c>
      <c r="O32" s="483" t="s">
        <v>127</v>
      </c>
      <c r="P32" s="483" t="s">
        <v>127</v>
      </c>
      <c r="Q32" s="292" t="s">
        <v>127</v>
      </c>
    </row>
    <row r="33" spans="1:17">
      <c r="A33" s="228"/>
      <c r="B33" s="214" t="s">
        <v>1399</v>
      </c>
      <c r="C33" s="470" t="s">
        <v>1199</v>
      </c>
      <c r="D33" s="482" t="s">
        <v>136</v>
      </c>
      <c r="E33" s="483" t="s">
        <v>127</v>
      </c>
      <c r="F33" s="483" t="s">
        <v>127</v>
      </c>
      <c r="G33" s="483" t="s">
        <v>127</v>
      </c>
      <c r="H33" s="483" t="s">
        <v>136</v>
      </c>
      <c r="I33" s="483" t="s">
        <v>127</v>
      </c>
      <c r="J33" s="483" t="s">
        <v>127</v>
      </c>
      <c r="K33" s="483" t="s">
        <v>127</v>
      </c>
      <c r="L33" s="483" t="s">
        <v>136</v>
      </c>
      <c r="M33" s="483" t="s">
        <v>127</v>
      </c>
      <c r="O33" s="483" t="s">
        <v>127</v>
      </c>
      <c r="P33" s="483" t="s">
        <v>127</v>
      </c>
      <c r="Q33" s="292" t="s">
        <v>127</v>
      </c>
    </row>
    <row r="34" spans="1:17">
      <c r="A34" s="228">
        <f>MAX(A$10:A33)+1</f>
        <v>5</v>
      </c>
      <c r="B34" s="213" t="s">
        <v>1566</v>
      </c>
      <c r="C34" s="219"/>
      <c r="D34" s="479"/>
      <c r="E34" s="479"/>
      <c r="F34" s="479"/>
      <c r="G34" s="484"/>
      <c r="H34" s="479"/>
      <c r="I34" s="479"/>
      <c r="J34" s="480"/>
      <c r="K34" s="214"/>
      <c r="L34" s="389"/>
      <c r="M34" s="214"/>
      <c r="O34" s="479"/>
      <c r="P34" s="292"/>
      <c r="Q34" s="292"/>
    </row>
    <row r="35" spans="1:17">
      <c r="A35" s="228"/>
      <c r="B35" s="214" t="s">
        <v>1567</v>
      </c>
      <c r="C35" s="470" t="s">
        <v>157</v>
      </c>
      <c r="D35" s="482" t="s">
        <v>136</v>
      </c>
      <c r="E35" s="483" t="s">
        <v>127</v>
      </c>
      <c r="F35" s="483" t="s">
        <v>127</v>
      </c>
      <c r="G35" s="483" t="s">
        <v>136</v>
      </c>
      <c r="H35" s="483" t="s">
        <v>136</v>
      </c>
      <c r="I35" s="483" t="s">
        <v>127</v>
      </c>
      <c r="J35" s="483" t="s">
        <v>127</v>
      </c>
      <c r="K35" s="483" t="s">
        <v>136</v>
      </c>
      <c r="L35" s="483" t="s">
        <v>136</v>
      </c>
      <c r="M35" s="483" t="s">
        <v>136</v>
      </c>
      <c r="O35" s="483" t="s">
        <v>136</v>
      </c>
      <c r="P35" s="483" t="s">
        <v>136</v>
      </c>
      <c r="Q35" s="292" t="s">
        <v>127</v>
      </c>
    </row>
    <row r="36" spans="1:17">
      <c r="B36" s="214" t="s">
        <v>1568</v>
      </c>
      <c r="C36" s="470" t="s">
        <v>169</v>
      </c>
      <c r="D36" s="482" t="s">
        <v>138</v>
      </c>
      <c r="E36" s="483" t="s">
        <v>136</v>
      </c>
      <c r="F36" s="483" t="s">
        <v>136</v>
      </c>
      <c r="G36" s="483" t="s">
        <v>127</v>
      </c>
      <c r="H36" s="483" t="s">
        <v>136</v>
      </c>
      <c r="I36" s="482" t="s">
        <v>136</v>
      </c>
      <c r="J36" s="483" t="s">
        <v>127</v>
      </c>
      <c r="K36" s="483" t="s">
        <v>136</v>
      </c>
      <c r="L36" s="483" t="s">
        <v>136</v>
      </c>
      <c r="M36" s="483" t="s">
        <v>127</v>
      </c>
      <c r="O36" s="483" t="s">
        <v>127</v>
      </c>
      <c r="P36" s="483" t="s">
        <v>127</v>
      </c>
      <c r="Q36" s="292" t="s">
        <v>127</v>
      </c>
    </row>
    <row r="37" spans="1:17">
      <c r="A37" s="228">
        <f>MAX(A$10:A36)+1</f>
        <v>6</v>
      </c>
      <c r="B37" s="213" t="s">
        <v>174</v>
      </c>
      <c r="C37" s="219"/>
      <c r="D37" s="479"/>
      <c r="E37" s="479"/>
      <c r="F37" s="479"/>
      <c r="G37" s="484"/>
      <c r="H37" s="479"/>
      <c r="I37" s="479"/>
      <c r="J37" s="480"/>
      <c r="K37" s="214"/>
      <c r="L37" s="389"/>
      <c r="M37" s="214"/>
      <c r="O37" s="479"/>
      <c r="P37" s="292"/>
      <c r="Q37" s="292"/>
    </row>
    <row r="38" spans="1:17">
      <c r="A38" s="228"/>
      <c r="B38" s="214" t="s">
        <v>175</v>
      </c>
      <c r="C38" s="470" t="s">
        <v>161</v>
      </c>
      <c r="D38" s="482" t="s">
        <v>136</v>
      </c>
      <c r="E38" s="483" t="s">
        <v>127</v>
      </c>
      <c r="F38" s="482" t="s">
        <v>136</v>
      </c>
      <c r="G38" s="483" t="s">
        <v>127</v>
      </c>
      <c r="H38" s="482" t="s">
        <v>136</v>
      </c>
      <c r="I38" s="482" t="s">
        <v>136</v>
      </c>
      <c r="J38" s="483" t="s">
        <v>127</v>
      </c>
      <c r="K38" s="483" t="s">
        <v>127</v>
      </c>
      <c r="L38" s="483" t="s">
        <v>127</v>
      </c>
      <c r="M38" s="483" t="s">
        <v>127</v>
      </c>
      <c r="O38" s="483" t="s">
        <v>127</v>
      </c>
      <c r="P38" s="483" t="s">
        <v>136</v>
      </c>
      <c r="Q38" s="483" t="s">
        <v>136</v>
      </c>
    </row>
    <row r="39" spans="1:17">
      <c r="A39" s="228">
        <f>MAX(A$10:A38)+1</f>
        <v>7</v>
      </c>
      <c r="B39" s="213" t="s">
        <v>1385</v>
      </c>
      <c r="C39" s="219"/>
      <c r="D39" s="479"/>
      <c r="E39" s="479"/>
      <c r="F39" s="479"/>
      <c r="G39" s="484"/>
      <c r="H39" s="479"/>
      <c r="I39" s="479"/>
      <c r="J39" s="480"/>
      <c r="K39" s="214"/>
      <c r="L39" s="389"/>
      <c r="M39" s="214"/>
      <c r="O39" s="479"/>
      <c r="P39" s="481"/>
      <c r="Q39" s="481"/>
    </row>
    <row r="40" spans="1:17">
      <c r="A40" s="228"/>
      <c r="B40" s="214" t="s">
        <v>1400</v>
      </c>
      <c r="C40" s="470" t="s">
        <v>187</v>
      </c>
      <c r="D40" s="482" t="s">
        <v>136</v>
      </c>
      <c r="E40" s="483" t="s">
        <v>127</v>
      </c>
      <c r="F40" s="483" t="s">
        <v>127</v>
      </c>
      <c r="G40" s="483" t="s">
        <v>136</v>
      </c>
      <c r="H40" s="483" t="s">
        <v>136</v>
      </c>
      <c r="I40" s="483" t="s">
        <v>127</v>
      </c>
      <c r="J40" s="483" t="s">
        <v>127</v>
      </c>
      <c r="K40" s="483" t="s">
        <v>127</v>
      </c>
      <c r="L40" s="483" t="s">
        <v>127</v>
      </c>
      <c r="M40" s="483" t="s">
        <v>127</v>
      </c>
      <c r="O40" s="292" t="s">
        <v>136</v>
      </c>
      <c r="P40" s="292" t="s">
        <v>136</v>
      </c>
      <c r="Q40" s="292" t="s">
        <v>127</v>
      </c>
    </row>
    <row r="41" spans="1:17">
      <c r="A41" s="228"/>
      <c r="B41" s="214" t="s">
        <v>1387</v>
      </c>
      <c r="C41" s="470" t="s">
        <v>190</v>
      </c>
      <c r="D41" s="482" t="s">
        <v>136</v>
      </c>
      <c r="E41" s="483" t="s">
        <v>127</v>
      </c>
      <c r="F41" s="483" t="s">
        <v>136</v>
      </c>
      <c r="G41" s="483" t="s">
        <v>136</v>
      </c>
      <c r="H41" s="483" t="s">
        <v>136</v>
      </c>
      <c r="I41" s="482" t="s">
        <v>136</v>
      </c>
      <c r="J41" s="483" t="s">
        <v>136</v>
      </c>
      <c r="K41" s="483" t="s">
        <v>127</v>
      </c>
      <c r="L41" s="483" t="s">
        <v>127</v>
      </c>
      <c r="M41" s="483" t="s">
        <v>127</v>
      </c>
      <c r="O41" s="292" t="s">
        <v>136</v>
      </c>
      <c r="P41" s="292"/>
      <c r="Q41" s="292" t="s">
        <v>127</v>
      </c>
    </row>
    <row r="42" spans="1:17">
      <c r="B42" s="214" t="s">
        <v>1400</v>
      </c>
      <c r="C42" s="470" t="s">
        <v>171</v>
      </c>
      <c r="D42" s="482" t="s">
        <v>136</v>
      </c>
      <c r="E42" s="483" t="s">
        <v>127</v>
      </c>
      <c r="F42" s="483" t="s">
        <v>127</v>
      </c>
      <c r="G42" s="483" t="s">
        <v>136</v>
      </c>
      <c r="H42" s="483" t="s">
        <v>136</v>
      </c>
      <c r="I42" s="482" t="s">
        <v>136</v>
      </c>
      <c r="J42" s="483" t="s">
        <v>136</v>
      </c>
      <c r="K42" s="483" t="s">
        <v>136</v>
      </c>
      <c r="L42" s="483" t="s">
        <v>136</v>
      </c>
      <c r="M42" s="483" t="s">
        <v>136</v>
      </c>
      <c r="N42" s="463"/>
      <c r="O42" s="292" t="s">
        <v>136</v>
      </c>
      <c r="P42" s="292" t="s">
        <v>136</v>
      </c>
      <c r="Q42" s="292" t="s">
        <v>136</v>
      </c>
    </row>
    <row r="43" spans="1:17">
      <c r="A43" s="228">
        <f>MAX(A$10:A42)+1</f>
        <v>8</v>
      </c>
      <c r="B43" s="213" t="s">
        <v>179</v>
      </c>
      <c r="C43" s="219"/>
      <c r="D43" s="479"/>
      <c r="E43" s="479"/>
      <c r="F43" s="479"/>
      <c r="G43" s="484"/>
      <c r="H43" s="479"/>
      <c r="I43" s="479"/>
      <c r="J43" s="480"/>
      <c r="K43" s="214"/>
      <c r="L43" s="389"/>
      <c r="M43" s="214"/>
      <c r="N43" s="214"/>
      <c r="O43" s="479"/>
      <c r="P43" s="481"/>
      <c r="Q43" s="481"/>
    </row>
    <row r="44" spans="1:17">
      <c r="A44" s="228"/>
      <c r="B44" s="214" t="s">
        <v>180</v>
      </c>
      <c r="C44" s="470" t="s">
        <v>161</v>
      </c>
      <c r="D44" s="482" t="s">
        <v>136</v>
      </c>
      <c r="E44" s="483" t="s">
        <v>127</v>
      </c>
      <c r="F44" s="483" t="s">
        <v>127</v>
      </c>
      <c r="G44" s="483" t="s">
        <v>127</v>
      </c>
      <c r="H44" s="483" t="s">
        <v>136</v>
      </c>
      <c r="I44" s="482" t="s">
        <v>136</v>
      </c>
      <c r="J44" s="483" t="s">
        <v>127</v>
      </c>
      <c r="K44" s="483" t="s">
        <v>127</v>
      </c>
      <c r="L44" s="483" t="s">
        <v>127</v>
      </c>
      <c r="M44" s="483" t="s">
        <v>136</v>
      </c>
      <c r="N44" s="483"/>
      <c r="O44" s="483" t="s">
        <v>127</v>
      </c>
      <c r="P44" s="483" t="s">
        <v>136</v>
      </c>
      <c r="Q44" s="483" t="s">
        <v>136</v>
      </c>
    </row>
    <row r="45" spans="1:17">
      <c r="A45" s="228">
        <f>MAX(A$10:A44)+1</f>
        <v>9</v>
      </c>
      <c r="B45" s="213" t="s">
        <v>181</v>
      </c>
      <c r="C45" s="219"/>
      <c r="D45" s="479"/>
      <c r="E45" s="479"/>
      <c r="F45" s="479"/>
      <c r="G45" s="484"/>
      <c r="H45" s="479"/>
      <c r="I45" s="479"/>
      <c r="J45" s="480"/>
      <c r="K45" s="214"/>
      <c r="L45" s="389"/>
      <c r="M45" s="214"/>
      <c r="N45" s="463"/>
      <c r="O45" s="479"/>
      <c r="P45" s="292"/>
      <c r="Q45" s="481"/>
    </row>
    <row r="46" spans="1:17">
      <c r="A46" s="228"/>
      <c r="B46" s="214" t="s">
        <v>182</v>
      </c>
      <c r="C46" s="470" t="s">
        <v>183</v>
      </c>
      <c r="D46" s="482" t="s">
        <v>136</v>
      </c>
      <c r="E46" s="483" t="s">
        <v>127</v>
      </c>
      <c r="F46" s="483" t="s">
        <v>127</v>
      </c>
      <c r="G46" s="483" t="s">
        <v>136</v>
      </c>
      <c r="H46" s="483" t="s">
        <v>136</v>
      </c>
      <c r="I46" s="482" t="s">
        <v>136</v>
      </c>
      <c r="J46" s="483" t="s">
        <v>136</v>
      </c>
      <c r="K46" s="483" t="s">
        <v>136</v>
      </c>
      <c r="L46" s="483" t="s">
        <v>136</v>
      </c>
      <c r="M46" s="483" t="s">
        <v>136</v>
      </c>
      <c r="N46" s="463"/>
      <c r="O46" s="292" t="s">
        <v>136</v>
      </c>
      <c r="P46" s="292" t="s">
        <v>136</v>
      </c>
      <c r="Q46" s="292" t="s">
        <v>136</v>
      </c>
    </row>
    <row r="47" spans="1:17">
      <c r="A47" s="228"/>
      <c r="B47" s="214" t="s">
        <v>184</v>
      </c>
      <c r="C47" s="470" t="s">
        <v>157</v>
      </c>
      <c r="D47" s="482" t="s">
        <v>136</v>
      </c>
      <c r="E47" s="483" t="s">
        <v>127</v>
      </c>
      <c r="F47" s="483" t="s">
        <v>127</v>
      </c>
      <c r="G47" s="483" t="s">
        <v>136</v>
      </c>
      <c r="H47" s="483" t="s">
        <v>136</v>
      </c>
      <c r="I47" s="483" t="s">
        <v>127</v>
      </c>
      <c r="J47" s="483" t="s">
        <v>136</v>
      </c>
      <c r="K47" s="483" t="s">
        <v>136</v>
      </c>
      <c r="L47" s="483" t="s">
        <v>136</v>
      </c>
      <c r="M47" s="483" t="s">
        <v>136</v>
      </c>
      <c r="N47" s="463"/>
      <c r="O47" s="292" t="s">
        <v>127</v>
      </c>
      <c r="P47" s="483" t="s">
        <v>127</v>
      </c>
      <c r="Q47" s="292" t="s">
        <v>136</v>
      </c>
    </row>
    <row r="48" spans="1:17">
      <c r="B48" s="214" t="s">
        <v>185</v>
      </c>
      <c r="C48" s="470" t="s">
        <v>159</v>
      </c>
      <c r="D48" s="482" t="s">
        <v>136</v>
      </c>
      <c r="E48" s="483" t="s">
        <v>127</v>
      </c>
      <c r="F48" s="483" t="s">
        <v>127</v>
      </c>
      <c r="G48" s="483" t="s">
        <v>136</v>
      </c>
      <c r="H48" s="483" t="s">
        <v>136</v>
      </c>
      <c r="I48" s="483" t="s">
        <v>127</v>
      </c>
      <c r="J48" s="483" t="s">
        <v>127</v>
      </c>
      <c r="K48" s="483" t="s">
        <v>127</v>
      </c>
      <c r="L48" s="483" t="s">
        <v>127</v>
      </c>
      <c r="M48" s="483" t="s">
        <v>127</v>
      </c>
      <c r="O48" s="292" t="s">
        <v>127</v>
      </c>
      <c r="P48" s="483" t="s">
        <v>127</v>
      </c>
      <c r="Q48" s="292" t="s">
        <v>136</v>
      </c>
    </row>
    <row r="49" spans="1:17">
      <c r="A49" s="228"/>
      <c r="B49" s="214" t="s">
        <v>186</v>
      </c>
      <c r="C49" s="470" t="s">
        <v>187</v>
      </c>
      <c r="D49" s="482" t="s">
        <v>136</v>
      </c>
      <c r="E49" s="483" t="s">
        <v>127</v>
      </c>
      <c r="F49" s="483" t="s">
        <v>127</v>
      </c>
      <c r="G49" s="483" t="s">
        <v>127</v>
      </c>
      <c r="H49" s="483" t="s">
        <v>136</v>
      </c>
      <c r="I49" s="483" t="s">
        <v>127</v>
      </c>
      <c r="J49" s="483" t="s">
        <v>127</v>
      </c>
      <c r="K49" s="483" t="s">
        <v>127</v>
      </c>
      <c r="L49" s="483" t="s">
        <v>127</v>
      </c>
      <c r="M49" s="483" t="s">
        <v>127</v>
      </c>
      <c r="O49" s="483" t="s">
        <v>136</v>
      </c>
      <c r="P49" s="483" t="s">
        <v>136</v>
      </c>
      <c r="Q49" s="292" t="s">
        <v>127</v>
      </c>
    </row>
    <row r="50" spans="1:17">
      <c r="A50" s="228"/>
      <c r="B50" s="214" t="s">
        <v>188</v>
      </c>
      <c r="C50" s="470" t="s">
        <v>187</v>
      </c>
      <c r="D50" s="482" t="s">
        <v>136</v>
      </c>
      <c r="E50" s="483" t="s">
        <v>127</v>
      </c>
      <c r="F50" s="483" t="s">
        <v>127</v>
      </c>
      <c r="G50" s="483" t="s">
        <v>127</v>
      </c>
      <c r="H50" s="483" t="s">
        <v>136</v>
      </c>
      <c r="I50" s="483" t="s">
        <v>127</v>
      </c>
      <c r="J50" s="483" t="s">
        <v>127</v>
      </c>
      <c r="K50" s="483" t="s">
        <v>127</v>
      </c>
      <c r="L50" s="483" t="s">
        <v>127</v>
      </c>
      <c r="M50" s="483" t="s">
        <v>127</v>
      </c>
      <c r="O50" s="483" t="s">
        <v>136</v>
      </c>
      <c r="P50" s="483" t="s">
        <v>136</v>
      </c>
      <c r="Q50" s="292" t="s">
        <v>127</v>
      </c>
    </row>
    <row r="51" spans="1:17">
      <c r="A51" s="228"/>
      <c r="B51" s="214" t="s">
        <v>189</v>
      </c>
      <c r="C51" s="470" t="s">
        <v>163</v>
      </c>
      <c r="D51" s="482" t="s">
        <v>138</v>
      </c>
      <c r="E51" s="482" t="s">
        <v>136</v>
      </c>
      <c r="F51" s="483" t="s">
        <v>127</v>
      </c>
      <c r="G51" s="483" t="s">
        <v>127</v>
      </c>
      <c r="H51" s="483" t="s">
        <v>136</v>
      </c>
      <c r="I51" s="482" t="s">
        <v>136</v>
      </c>
      <c r="J51" s="483" t="s">
        <v>127</v>
      </c>
      <c r="K51" s="483" t="s">
        <v>136</v>
      </c>
      <c r="L51" s="483" t="s">
        <v>136</v>
      </c>
      <c r="M51" s="483" t="s">
        <v>127</v>
      </c>
      <c r="O51" s="483" t="s">
        <v>136</v>
      </c>
      <c r="P51" s="483" t="s">
        <v>127</v>
      </c>
      <c r="Q51" s="292" t="s">
        <v>136</v>
      </c>
    </row>
    <row r="52" spans="1:17">
      <c r="B52" s="214" t="s">
        <v>188</v>
      </c>
      <c r="C52" s="470" t="s">
        <v>190</v>
      </c>
      <c r="D52" s="482" t="s">
        <v>136</v>
      </c>
      <c r="E52" s="483" t="s">
        <v>127</v>
      </c>
      <c r="F52" s="483" t="s">
        <v>127</v>
      </c>
      <c r="G52" s="483" t="s">
        <v>127</v>
      </c>
      <c r="H52" s="483" t="s">
        <v>136</v>
      </c>
      <c r="I52" s="483" t="s">
        <v>127</v>
      </c>
      <c r="J52" s="483" t="s">
        <v>127</v>
      </c>
      <c r="K52" s="483" t="s">
        <v>127</v>
      </c>
      <c r="L52" s="483" t="s">
        <v>127</v>
      </c>
      <c r="M52" s="483" t="s">
        <v>127</v>
      </c>
      <c r="O52" s="292" t="s">
        <v>136</v>
      </c>
      <c r="P52" s="483" t="s">
        <v>127</v>
      </c>
      <c r="Q52" s="292" t="s">
        <v>127</v>
      </c>
    </row>
    <row r="53" spans="1:17">
      <c r="A53" s="228"/>
      <c r="B53" s="214" t="s">
        <v>186</v>
      </c>
      <c r="C53" s="470" t="s">
        <v>190</v>
      </c>
      <c r="D53" s="482" t="s">
        <v>136</v>
      </c>
      <c r="E53" s="483" t="s">
        <v>127</v>
      </c>
      <c r="F53" s="483" t="s">
        <v>127</v>
      </c>
      <c r="G53" s="483" t="s">
        <v>127</v>
      </c>
      <c r="H53" s="483" t="s">
        <v>136</v>
      </c>
      <c r="I53" s="483" t="s">
        <v>127</v>
      </c>
      <c r="J53" s="483" t="s">
        <v>127</v>
      </c>
      <c r="K53" s="483" t="s">
        <v>127</v>
      </c>
      <c r="L53" s="483" t="s">
        <v>127</v>
      </c>
      <c r="M53" s="483" t="s">
        <v>127</v>
      </c>
      <c r="O53" s="483" t="s">
        <v>136</v>
      </c>
      <c r="P53" s="483" t="s">
        <v>127</v>
      </c>
      <c r="Q53" s="292" t="s">
        <v>127</v>
      </c>
    </row>
    <row r="54" spans="1:17">
      <c r="A54" s="228">
        <f>MAX(A$10:A53)+1</f>
        <v>10</v>
      </c>
      <c r="B54" s="213" t="s">
        <v>1569</v>
      </c>
      <c r="C54" s="219"/>
      <c r="D54" s="479"/>
      <c r="E54" s="479"/>
      <c r="F54" s="479"/>
      <c r="G54" s="484"/>
      <c r="H54" s="479"/>
      <c r="I54" s="479"/>
      <c r="J54" s="480"/>
      <c r="K54" s="214"/>
      <c r="L54" s="389"/>
      <c r="M54" s="214"/>
      <c r="O54" s="479"/>
      <c r="P54" s="292"/>
    </row>
    <row r="55" spans="1:17">
      <c r="A55" s="228"/>
      <c r="B55" s="214" t="s">
        <v>1570</v>
      </c>
      <c r="C55" s="470" t="s">
        <v>228</v>
      </c>
      <c r="D55" s="482" t="s">
        <v>136</v>
      </c>
      <c r="E55" s="483" t="s">
        <v>127</v>
      </c>
      <c r="F55" s="482" t="s">
        <v>136</v>
      </c>
      <c r="G55" s="482" t="s">
        <v>136</v>
      </c>
      <c r="H55" s="482" t="s">
        <v>136</v>
      </c>
      <c r="I55" s="482" t="s">
        <v>136</v>
      </c>
      <c r="J55" s="483" t="s">
        <v>127</v>
      </c>
      <c r="K55" s="483" t="s">
        <v>127</v>
      </c>
      <c r="L55" s="483" t="s">
        <v>127</v>
      </c>
      <c r="M55" s="483" t="s">
        <v>127</v>
      </c>
      <c r="O55" s="483" t="s">
        <v>136</v>
      </c>
      <c r="P55" s="483" t="s">
        <v>127</v>
      </c>
      <c r="Q55" s="483" t="s">
        <v>136</v>
      </c>
    </row>
    <row r="56" spans="1:17">
      <c r="A56" s="228">
        <f>MAX(A$10:A55)+1</f>
        <v>11</v>
      </c>
      <c r="B56" s="213" t="s">
        <v>191</v>
      </c>
      <c r="C56" s="219"/>
      <c r="D56" s="485"/>
      <c r="E56" s="485"/>
      <c r="F56" s="485"/>
      <c r="G56" s="486"/>
      <c r="H56" s="485"/>
      <c r="I56" s="485"/>
      <c r="J56" s="230"/>
      <c r="K56" s="214"/>
      <c r="L56" s="289"/>
      <c r="M56" s="214"/>
      <c r="O56" s="485"/>
      <c r="P56" s="292"/>
      <c r="Q56" s="292"/>
    </row>
    <row r="57" spans="1:17">
      <c r="A57" s="228"/>
      <c r="B57" s="214" t="s">
        <v>192</v>
      </c>
      <c r="C57" s="470" t="s">
        <v>155</v>
      </c>
      <c r="D57" s="482" t="s">
        <v>136</v>
      </c>
      <c r="E57" s="483" t="s">
        <v>127</v>
      </c>
      <c r="F57" s="482" t="s">
        <v>136</v>
      </c>
      <c r="G57" s="483" t="s">
        <v>127</v>
      </c>
      <c r="H57" s="483" t="s">
        <v>136</v>
      </c>
      <c r="I57" s="483" t="s">
        <v>127</v>
      </c>
      <c r="J57" s="483" t="s">
        <v>136</v>
      </c>
      <c r="K57" s="483" t="s">
        <v>127</v>
      </c>
      <c r="L57" s="483" t="s">
        <v>136</v>
      </c>
      <c r="M57" s="483" t="s">
        <v>127</v>
      </c>
      <c r="O57" s="483" t="s">
        <v>136</v>
      </c>
      <c r="P57" s="483" t="s">
        <v>127</v>
      </c>
      <c r="Q57" s="483" t="s">
        <v>136</v>
      </c>
    </row>
    <row r="58" spans="1:17">
      <c r="A58" s="228"/>
      <c r="B58" s="214" t="s">
        <v>193</v>
      </c>
      <c r="C58" s="470" t="s">
        <v>160</v>
      </c>
      <c r="D58" s="482" t="s">
        <v>136</v>
      </c>
      <c r="E58" s="483" t="s">
        <v>127</v>
      </c>
      <c r="F58" s="482" t="s">
        <v>136</v>
      </c>
      <c r="G58" s="483" t="s">
        <v>136</v>
      </c>
      <c r="H58" s="483" t="s">
        <v>136</v>
      </c>
      <c r="I58" s="483" t="s">
        <v>127</v>
      </c>
      <c r="J58" s="483" t="s">
        <v>136</v>
      </c>
      <c r="K58" s="483" t="s">
        <v>136</v>
      </c>
      <c r="L58" s="483" t="s">
        <v>136</v>
      </c>
      <c r="M58" s="483" t="s">
        <v>127</v>
      </c>
      <c r="O58" s="292" t="s">
        <v>136</v>
      </c>
      <c r="P58" s="483" t="s">
        <v>127</v>
      </c>
      <c r="Q58" s="292" t="s">
        <v>136</v>
      </c>
    </row>
    <row r="59" spans="1:17">
      <c r="A59" s="228"/>
      <c r="B59" s="214" t="s">
        <v>194</v>
      </c>
      <c r="C59" s="470" t="s">
        <v>160</v>
      </c>
      <c r="D59" s="482" t="s">
        <v>136</v>
      </c>
      <c r="E59" s="483" t="s">
        <v>127</v>
      </c>
      <c r="F59" s="482" t="s">
        <v>136</v>
      </c>
      <c r="G59" s="483" t="s">
        <v>136</v>
      </c>
      <c r="H59" s="483" t="s">
        <v>127</v>
      </c>
      <c r="I59" s="482" t="s">
        <v>136</v>
      </c>
      <c r="J59" s="483" t="s">
        <v>136</v>
      </c>
      <c r="K59" s="483" t="s">
        <v>136</v>
      </c>
      <c r="L59" s="483" t="s">
        <v>136</v>
      </c>
      <c r="M59" s="483" t="s">
        <v>136</v>
      </c>
      <c r="O59" s="292" t="s">
        <v>136</v>
      </c>
      <c r="P59" s="483" t="s">
        <v>127</v>
      </c>
      <c r="Q59" s="483" t="s">
        <v>127</v>
      </c>
    </row>
    <row r="60" spans="1:17">
      <c r="A60" s="228"/>
      <c r="B60" s="214" t="s">
        <v>195</v>
      </c>
      <c r="C60" s="470" t="s">
        <v>196</v>
      </c>
      <c r="D60" s="482" t="s">
        <v>136</v>
      </c>
      <c r="E60" s="483" t="s">
        <v>127</v>
      </c>
      <c r="F60" s="482" t="s">
        <v>136</v>
      </c>
      <c r="G60" s="483" t="s">
        <v>127</v>
      </c>
      <c r="H60" s="483" t="s">
        <v>127</v>
      </c>
      <c r="I60" s="482" t="s">
        <v>136</v>
      </c>
      <c r="J60" s="483" t="s">
        <v>136</v>
      </c>
      <c r="K60" s="483" t="s">
        <v>136</v>
      </c>
      <c r="L60" s="483" t="s">
        <v>136</v>
      </c>
      <c r="M60" s="483" t="s">
        <v>127</v>
      </c>
      <c r="O60" s="483" t="s">
        <v>136</v>
      </c>
      <c r="P60" s="483" t="s">
        <v>136</v>
      </c>
      <c r="Q60" s="483" t="s">
        <v>136</v>
      </c>
    </row>
    <row r="61" spans="1:17">
      <c r="A61" s="228"/>
      <c r="B61" s="214" t="s">
        <v>197</v>
      </c>
      <c r="C61" s="470" t="s">
        <v>169</v>
      </c>
      <c r="D61" s="482" t="s">
        <v>136</v>
      </c>
      <c r="E61" s="483" t="s">
        <v>127</v>
      </c>
      <c r="F61" s="482" t="s">
        <v>136</v>
      </c>
      <c r="G61" s="483" t="s">
        <v>127</v>
      </c>
      <c r="H61" s="483" t="s">
        <v>127</v>
      </c>
      <c r="I61" s="482" t="s">
        <v>136</v>
      </c>
      <c r="J61" s="483" t="s">
        <v>136</v>
      </c>
      <c r="K61" s="483" t="s">
        <v>136</v>
      </c>
      <c r="L61" s="483" t="s">
        <v>136</v>
      </c>
      <c r="M61" s="483" t="s">
        <v>127</v>
      </c>
      <c r="O61" s="483" t="s">
        <v>127</v>
      </c>
      <c r="P61" s="483" t="s">
        <v>127</v>
      </c>
      <c r="Q61" s="292" t="s">
        <v>127</v>
      </c>
    </row>
    <row r="62" spans="1:17">
      <c r="A62" s="228">
        <f>MAX(A$10:A61)+1</f>
        <v>12</v>
      </c>
      <c r="B62" s="213" t="s">
        <v>198</v>
      </c>
      <c r="C62" s="219"/>
      <c r="D62" s="479"/>
      <c r="E62" s="479"/>
      <c r="F62" s="479"/>
      <c r="G62" s="484"/>
      <c r="H62" s="479"/>
      <c r="I62" s="479"/>
      <c r="J62" s="480"/>
      <c r="K62" s="214"/>
      <c r="L62" s="389"/>
      <c r="M62" s="214"/>
      <c r="O62" s="479"/>
      <c r="P62" s="292"/>
      <c r="Q62" s="292"/>
    </row>
    <row r="63" spans="1:17">
      <c r="A63" s="228"/>
      <c r="B63" s="214" t="s">
        <v>199</v>
      </c>
      <c r="C63" s="470" t="s">
        <v>200</v>
      </c>
      <c r="D63" s="482" t="s">
        <v>136</v>
      </c>
      <c r="E63" s="483" t="s">
        <v>127</v>
      </c>
      <c r="F63" s="483" t="s">
        <v>127</v>
      </c>
      <c r="G63" s="483" t="s">
        <v>127</v>
      </c>
      <c r="H63" s="483" t="s">
        <v>136</v>
      </c>
      <c r="I63" s="482" t="s">
        <v>136</v>
      </c>
      <c r="J63" s="483" t="s">
        <v>136</v>
      </c>
      <c r="K63" s="483" t="s">
        <v>136</v>
      </c>
      <c r="L63" s="483" t="s">
        <v>136</v>
      </c>
      <c r="M63" s="483" t="s">
        <v>127</v>
      </c>
      <c r="O63" s="483" t="s">
        <v>127</v>
      </c>
      <c r="P63" s="483" t="s">
        <v>127</v>
      </c>
      <c r="Q63" s="292" t="s">
        <v>127</v>
      </c>
    </row>
    <row r="64" spans="1:17">
      <c r="A64" s="228"/>
      <c r="B64" s="214" t="s">
        <v>201</v>
      </c>
      <c r="C64" s="470" t="s">
        <v>200</v>
      </c>
      <c r="D64" s="482" t="s">
        <v>136</v>
      </c>
      <c r="E64" s="483" t="s">
        <v>127</v>
      </c>
      <c r="F64" s="483" t="s">
        <v>127</v>
      </c>
      <c r="G64" s="483" t="s">
        <v>127</v>
      </c>
      <c r="H64" s="483" t="s">
        <v>136</v>
      </c>
      <c r="I64" s="483" t="s">
        <v>127</v>
      </c>
      <c r="J64" s="483" t="s">
        <v>136</v>
      </c>
      <c r="K64" s="483" t="s">
        <v>136</v>
      </c>
      <c r="L64" s="483" t="s">
        <v>127</v>
      </c>
      <c r="M64" s="483" t="s">
        <v>127</v>
      </c>
      <c r="O64" s="483" t="s">
        <v>127</v>
      </c>
      <c r="P64" s="483" t="s">
        <v>127</v>
      </c>
      <c r="Q64" s="292" t="s">
        <v>127</v>
      </c>
    </row>
    <row r="65" spans="1:17">
      <c r="A65" s="228"/>
      <c r="B65" s="214" t="s">
        <v>202</v>
      </c>
      <c r="C65" s="470" t="s">
        <v>200</v>
      </c>
      <c r="D65" s="482" t="s">
        <v>136</v>
      </c>
      <c r="E65" s="483" t="s">
        <v>127</v>
      </c>
      <c r="F65" s="483" t="s">
        <v>127</v>
      </c>
      <c r="G65" s="483" t="s">
        <v>127</v>
      </c>
      <c r="H65" s="483" t="s">
        <v>136</v>
      </c>
      <c r="I65" s="482" t="s">
        <v>136</v>
      </c>
      <c r="J65" s="483" t="s">
        <v>136</v>
      </c>
      <c r="K65" s="483" t="s">
        <v>136</v>
      </c>
      <c r="L65" s="483" t="s">
        <v>136</v>
      </c>
      <c r="M65" s="483" t="s">
        <v>127</v>
      </c>
      <c r="O65" s="483" t="s">
        <v>127</v>
      </c>
      <c r="P65" s="483" t="s">
        <v>127</v>
      </c>
      <c r="Q65" s="292" t="s">
        <v>127</v>
      </c>
    </row>
    <row r="66" spans="1:17">
      <c r="A66" s="228"/>
      <c r="B66" s="214" t="s">
        <v>202</v>
      </c>
      <c r="C66" s="470" t="s">
        <v>152</v>
      </c>
      <c r="D66" s="482" t="s">
        <v>136</v>
      </c>
      <c r="E66" s="483" t="s">
        <v>127</v>
      </c>
      <c r="F66" s="483" t="s">
        <v>127</v>
      </c>
      <c r="G66" s="483" t="s">
        <v>127</v>
      </c>
      <c r="H66" s="483" t="s">
        <v>136</v>
      </c>
      <c r="I66" s="482" t="s">
        <v>136</v>
      </c>
      <c r="J66" s="483" t="s">
        <v>127</v>
      </c>
      <c r="K66" s="483" t="s">
        <v>127</v>
      </c>
      <c r="L66" s="483" t="s">
        <v>136</v>
      </c>
      <c r="M66" s="483" t="s">
        <v>127</v>
      </c>
      <c r="O66" s="483" t="s">
        <v>127</v>
      </c>
      <c r="P66" s="483" t="s">
        <v>127</v>
      </c>
      <c r="Q66" s="292" t="s">
        <v>127</v>
      </c>
    </row>
    <row r="67" spans="1:17">
      <c r="A67" s="228"/>
      <c r="B67" s="214" t="s">
        <v>203</v>
      </c>
      <c r="C67" s="470" t="s">
        <v>152</v>
      </c>
      <c r="D67" s="482" t="s">
        <v>136</v>
      </c>
      <c r="E67" s="483" t="s">
        <v>127</v>
      </c>
      <c r="F67" s="483" t="s">
        <v>127</v>
      </c>
      <c r="G67" s="483" t="s">
        <v>127</v>
      </c>
      <c r="H67" s="483" t="s">
        <v>136</v>
      </c>
      <c r="I67" s="482" t="s">
        <v>136</v>
      </c>
      <c r="J67" s="483" t="s">
        <v>127</v>
      </c>
      <c r="K67" s="483" t="s">
        <v>127</v>
      </c>
      <c r="L67" s="483" t="s">
        <v>127</v>
      </c>
      <c r="M67" s="483" t="s">
        <v>127</v>
      </c>
      <c r="O67" s="483" t="s">
        <v>127</v>
      </c>
      <c r="P67" s="483" t="s">
        <v>127</v>
      </c>
      <c r="Q67" s="292" t="s">
        <v>127</v>
      </c>
    </row>
    <row r="68" spans="1:17">
      <c r="A68" s="228">
        <f>MAX(A$10:A67)+1</f>
        <v>13</v>
      </c>
      <c r="B68" s="213" t="s">
        <v>204</v>
      </c>
      <c r="C68" s="219"/>
      <c r="D68" s="479"/>
      <c r="E68" s="479"/>
      <c r="F68" s="479"/>
      <c r="G68" s="486"/>
      <c r="H68" s="479"/>
      <c r="I68" s="479"/>
      <c r="J68" s="480"/>
      <c r="K68" s="214"/>
      <c r="L68" s="389"/>
      <c r="M68" s="214"/>
      <c r="O68" s="479"/>
      <c r="P68" s="292"/>
      <c r="Q68" s="292"/>
    </row>
    <row r="69" spans="1:17">
      <c r="A69" s="228"/>
      <c r="B69" s="214" t="s">
        <v>205</v>
      </c>
      <c r="C69" s="470" t="s">
        <v>206</v>
      </c>
      <c r="D69" s="482" t="s">
        <v>138</v>
      </c>
      <c r="E69" s="483" t="s">
        <v>127</v>
      </c>
      <c r="F69" s="483" t="s">
        <v>127</v>
      </c>
      <c r="G69" s="483" t="s">
        <v>136</v>
      </c>
      <c r="H69" s="483" t="s">
        <v>136</v>
      </c>
      <c r="I69" s="482" t="s">
        <v>136</v>
      </c>
      <c r="J69" s="483" t="s">
        <v>127</v>
      </c>
      <c r="K69" s="483" t="s">
        <v>136</v>
      </c>
      <c r="L69" s="483" t="s">
        <v>136</v>
      </c>
      <c r="M69" s="483" t="s">
        <v>136</v>
      </c>
      <c r="O69" s="483" t="s">
        <v>136</v>
      </c>
      <c r="P69" s="483" t="s">
        <v>127</v>
      </c>
      <c r="Q69" s="292" t="s">
        <v>127</v>
      </c>
    </row>
    <row r="70" spans="1:17">
      <c r="A70" s="228"/>
      <c r="B70" s="214" t="s">
        <v>207</v>
      </c>
      <c r="C70" s="470" t="s">
        <v>208</v>
      </c>
      <c r="D70" s="482" t="s">
        <v>138</v>
      </c>
      <c r="E70" s="483" t="s">
        <v>127</v>
      </c>
      <c r="F70" s="483" t="s">
        <v>136</v>
      </c>
      <c r="G70" s="483" t="s">
        <v>127</v>
      </c>
      <c r="H70" s="483" t="s">
        <v>136</v>
      </c>
      <c r="I70" s="482" t="s">
        <v>136</v>
      </c>
      <c r="J70" s="483" t="s">
        <v>127</v>
      </c>
      <c r="K70" s="483" t="s">
        <v>136</v>
      </c>
      <c r="L70" s="483" t="s">
        <v>136</v>
      </c>
      <c r="M70" s="483" t="s">
        <v>136</v>
      </c>
      <c r="O70" s="483" t="s">
        <v>136</v>
      </c>
      <c r="P70" s="483" t="s">
        <v>136</v>
      </c>
      <c r="Q70" s="292" t="s">
        <v>127</v>
      </c>
    </row>
    <row r="71" spans="1:17">
      <c r="A71" s="228"/>
      <c r="B71" s="214" t="s">
        <v>209</v>
      </c>
      <c r="C71" s="470" t="s">
        <v>210</v>
      </c>
      <c r="D71" s="482" t="s">
        <v>136</v>
      </c>
      <c r="E71" s="483" t="s">
        <v>127</v>
      </c>
      <c r="F71" s="483" t="s">
        <v>127</v>
      </c>
      <c r="G71" s="483" t="s">
        <v>136</v>
      </c>
      <c r="H71" s="483" t="s">
        <v>136</v>
      </c>
      <c r="I71" s="482" t="s">
        <v>136</v>
      </c>
      <c r="J71" s="483" t="s">
        <v>127</v>
      </c>
      <c r="K71" s="483" t="s">
        <v>136</v>
      </c>
      <c r="L71" s="483" t="s">
        <v>136</v>
      </c>
      <c r="M71" s="483" t="s">
        <v>127</v>
      </c>
      <c r="O71" s="483" t="s">
        <v>127</v>
      </c>
      <c r="P71" s="483" t="s">
        <v>127</v>
      </c>
      <c r="Q71" s="292" t="s">
        <v>127</v>
      </c>
    </row>
    <row r="72" spans="1:17">
      <c r="A72" s="228">
        <f>MAX(A$10:A71)+1</f>
        <v>14</v>
      </c>
      <c r="B72" s="213" t="s">
        <v>1571</v>
      </c>
      <c r="C72" s="219"/>
      <c r="D72" s="479"/>
      <c r="E72" s="479"/>
      <c r="F72" s="479"/>
      <c r="G72" s="484"/>
      <c r="H72" s="479"/>
      <c r="I72" s="479"/>
      <c r="J72" s="480"/>
      <c r="K72" s="214"/>
      <c r="L72" s="389"/>
      <c r="M72" s="214"/>
      <c r="O72" s="479"/>
      <c r="P72" s="292"/>
      <c r="Q72" s="292"/>
    </row>
    <row r="73" spans="1:17">
      <c r="A73" s="228"/>
      <c r="B73" s="214" t="s">
        <v>1572</v>
      </c>
      <c r="C73" s="470" t="s">
        <v>216</v>
      </c>
      <c r="D73" s="482" t="s">
        <v>138</v>
      </c>
      <c r="E73" s="483" t="s">
        <v>127</v>
      </c>
      <c r="F73" s="483" t="s">
        <v>127</v>
      </c>
      <c r="G73" s="483" t="s">
        <v>127</v>
      </c>
      <c r="H73" s="483" t="s">
        <v>136</v>
      </c>
      <c r="I73" s="483" t="s">
        <v>127</v>
      </c>
      <c r="J73" s="483" t="s">
        <v>127</v>
      </c>
      <c r="K73" s="483" t="s">
        <v>127</v>
      </c>
      <c r="L73" s="483" t="s">
        <v>136</v>
      </c>
      <c r="M73" s="483" t="s">
        <v>127</v>
      </c>
      <c r="O73" s="483" t="s">
        <v>127</v>
      </c>
      <c r="P73" s="483" t="s">
        <v>127</v>
      </c>
      <c r="Q73" s="483" t="s">
        <v>127</v>
      </c>
    </row>
    <row r="74" spans="1:17">
      <c r="A74" s="228"/>
      <c r="B74" s="214" t="s">
        <v>1573</v>
      </c>
      <c r="C74" s="470" t="s">
        <v>176</v>
      </c>
      <c r="D74" s="482" t="s">
        <v>138</v>
      </c>
      <c r="E74" s="483" t="s">
        <v>136</v>
      </c>
      <c r="F74" s="483" t="s">
        <v>127</v>
      </c>
      <c r="G74" s="483" t="s">
        <v>136</v>
      </c>
      <c r="H74" s="483" t="s">
        <v>136</v>
      </c>
      <c r="I74" s="483" t="s">
        <v>127</v>
      </c>
      <c r="J74" s="483" t="s">
        <v>127</v>
      </c>
      <c r="K74" s="483" t="s">
        <v>136</v>
      </c>
      <c r="L74" s="483" t="s">
        <v>136</v>
      </c>
      <c r="M74" s="483" t="s">
        <v>127</v>
      </c>
      <c r="O74" s="483" t="s">
        <v>136</v>
      </c>
      <c r="P74" s="483" t="s">
        <v>127</v>
      </c>
      <c r="Q74" s="483" t="s">
        <v>127</v>
      </c>
    </row>
    <row r="75" spans="1:17">
      <c r="A75" s="228"/>
      <c r="B75" s="214" t="s">
        <v>1574</v>
      </c>
      <c r="C75" s="470" t="s">
        <v>163</v>
      </c>
      <c r="D75" s="482" t="s">
        <v>138</v>
      </c>
      <c r="E75" s="483" t="s">
        <v>136</v>
      </c>
      <c r="F75" s="483" t="s">
        <v>127</v>
      </c>
      <c r="G75" s="483" t="s">
        <v>127</v>
      </c>
      <c r="H75" s="483" t="s">
        <v>136</v>
      </c>
      <c r="I75" s="482" t="s">
        <v>136</v>
      </c>
      <c r="J75" s="483" t="s">
        <v>127</v>
      </c>
      <c r="K75" s="483" t="s">
        <v>136</v>
      </c>
      <c r="L75" s="483" t="s">
        <v>136</v>
      </c>
      <c r="M75" s="483" t="s">
        <v>127</v>
      </c>
      <c r="O75" s="483" t="s">
        <v>136</v>
      </c>
      <c r="P75" s="483" t="s">
        <v>136</v>
      </c>
      <c r="Q75" s="483" t="s">
        <v>127</v>
      </c>
    </row>
    <row r="76" spans="1:17">
      <c r="A76" s="228"/>
      <c r="B76" s="214" t="s">
        <v>1575</v>
      </c>
      <c r="C76" s="470" t="s">
        <v>219</v>
      </c>
      <c r="D76" s="482" t="s">
        <v>138</v>
      </c>
      <c r="E76" s="483" t="s">
        <v>127</v>
      </c>
      <c r="F76" s="483" t="s">
        <v>127</v>
      </c>
      <c r="G76" s="483" t="s">
        <v>127</v>
      </c>
      <c r="H76" s="483" t="s">
        <v>136</v>
      </c>
      <c r="I76" s="482" t="s">
        <v>136</v>
      </c>
      <c r="J76" s="483" t="s">
        <v>127</v>
      </c>
      <c r="K76" s="483" t="s">
        <v>136</v>
      </c>
      <c r="L76" s="483" t="s">
        <v>127</v>
      </c>
      <c r="M76" s="483" t="s">
        <v>127</v>
      </c>
      <c r="O76" s="483" t="s">
        <v>127</v>
      </c>
      <c r="P76" s="483" t="s">
        <v>127</v>
      </c>
      <c r="Q76" s="483" t="s">
        <v>136</v>
      </c>
    </row>
    <row r="77" spans="1:17">
      <c r="A77" s="228"/>
      <c r="B77" s="214" t="s">
        <v>1576</v>
      </c>
      <c r="C77" s="470" t="s">
        <v>173</v>
      </c>
      <c r="D77" s="482" t="s">
        <v>136</v>
      </c>
      <c r="E77" s="483" t="s">
        <v>127</v>
      </c>
      <c r="F77" s="483" t="s">
        <v>127</v>
      </c>
      <c r="G77" s="483" t="s">
        <v>127</v>
      </c>
      <c r="H77" s="483" t="s">
        <v>127</v>
      </c>
      <c r="I77" s="482" t="s">
        <v>136</v>
      </c>
      <c r="J77" s="483" t="s">
        <v>127</v>
      </c>
      <c r="K77" s="483" t="s">
        <v>127</v>
      </c>
      <c r="L77" s="483" t="s">
        <v>127</v>
      </c>
      <c r="M77" s="483" t="s">
        <v>136</v>
      </c>
      <c r="O77" s="483" t="s">
        <v>127</v>
      </c>
      <c r="P77" s="483" t="s">
        <v>127</v>
      </c>
      <c r="Q77" s="292" t="s">
        <v>127</v>
      </c>
    </row>
    <row r="78" spans="1:17">
      <c r="A78" s="228"/>
      <c r="B78" s="214" t="s">
        <v>1572</v>
      </c>
      <c r="C78" s="470" t="s">
        <v>173</v>
      </c>
      <c r="D78" s="482" t="s">
        <v>136</v>
      </c>
      <c r="E78" s="483" t="s">
        <v>127</v>
      </c>
      <c r="F78" s="483" t="s">
        <v>127</v>
      </c>
      <c r="G78" s="483" t="s">
        <v>127</v>
      </c>
      <c r="H78" s="483" t="s">
        <v>127</v>
      </c>
      <c r="I78" s="482" t="s">
        <v>136</v>
      </c>
      <c r="J78" s="483" t="s">
        <v>127</v>
      </c>
      <c r="K78" s="483" t="s">
        <v>127</v>
      </c>
      <c r="L78" s="483" t="s">
        <v>127</v>
      </c>
      <c r="M78" s="483" t="s">
        <v>136</v>
      </c>
      <c r="O78" s="483" t="s">
        <v>127</v>
      </c>
      <c r="P78" s="483" t="s">
        <v>127</v>
      </c>
      <c r="Q78" s="292" t="s">
        <v>127</v>
      </c>
    </row>
    <row r="79" spans="1:17">
      <c r="A79" s="228">
        <f>MAX(A$10:A78)+1</f>
        <v>15</v>
      </c>
      <c r="B79" s="213" t="s">
        <v>220</v>
      </c>
      <c r="C79" s="219"/>
      <c r="D79" s="479"/>
      <c r="E79" s="479"/>
      <c r="F79" s="479"/>
      <c r="G79" s="484"/>
      <c r="H79" s="479"/>
      <c r="I79" s="479"/>
      <c r="J79" s="480"/>
      <c r="K79" s="214"/>
      <c r="L79" s="389"/>
      <c r="M79" s="214"/>
      <c r="O79" s="479"/>
      <c r="P79" s="292"/>
      <c r="Q79" s="292"/>
    </row>
    <row r="80" spans="1:17">
      <c r="A80" s="228"/>
      <c r="B80" s="214" t="s">
        <v>221</v>
      </c>
      <c r="C80" s="470" t="s">
        <v>222</v>
      </c>
      <c r="D80" s="482" t="s">
        <v>136</v>
      </c>
      <c r="E80" s="483" t="s">
        <v>127</v>
      </c>
      <c r="F80" s="483" t="s">
        <v>127</v>
      </c>
      <c r="G80" s="483" t="s">
        <v>127</v>
      </c>
      <c r="H80" s="483" t="s">
        <v>136</v>
      </c>
      <c r="I80" s="482" t="s">
        <v>136</v>
      </c>
      <c r="J80" s="483" t="s">
        <v>127</v>
      </c>
      <c r="K80" s="483" t="s">
        <v>127</v>
      </c>
      <c r="L80" s="483" t="s">
        <v>127</v>
      </c>
      <c r="M80" s="483" t="s">
        <v>127</v>
      </c>
      <c r="O80" s="483" t="s">
        <v>136</v>
      </c>
      <c r="P80" s="483" t="s">
        <v>136</v>
      </c>
      <c r="Q80" s="483" t="s">
        <v>127</v>
      </c>
    </row>
    <row r="81" spans="1:17">
      <c r="A81" s="228"/>
      <c r="B81" s="214" t="s">
        <v>221</v>
      </c>
      <c r="C81" s="470" t="s">
        <v>223</v>
      </c>
      <c r="D81" s="482" t="s">
        <v>136</v>
      </c>
      <c r="E81" s="483" t="s">
        <v>127</v>
      </c>
      <c r="F81" s="483" t="s">
        <v>127</v>
      </c>
      <c r="G81" s="483" t="s">
        <v>127</v>
      </c>
      <c r="H81" s="483" t="s">
        <v>136</v>
      </c>
      <c r="I81" s="483" t="s">
        <v>127</v>
      </c>
      <c r="J81" s="483" t="s">
        <v>127</v>
      </c>
      <c r="K81" s="483" t="s">
        <v>127</v>
      </c>
      <c r="L81" s="483" t="s">
        <v>127</v>
      </c>
      <c r="M81" s="483" t="s">
        <v>127</v>
      </c>
      <c r="O81" s="483" t="s">
        <v>127</v>
      </c>
      <c r="P81" s="483" t="s">
        <v>127</v>
      </c>
      <c r="Q81" s="483" t="s">
        <v>136</v>
      </c>
    </row>
    <row r="82" spans="1:17">
      <c r="A82" s="228">
        <f>MAX(A$10:A81)+1</f>
        <v>16</v>
      </c>
      <c r="B82" s="213" t="s">
        <v>1402</v>
      </c>
      <c r="C82" s="219"/>
      <c r="D82" s="479"/>
      <c r="E82" s="479"/>
      <c r="F82" s="479"/>
      <c r="G82" s="484"/>
      <c r="H82" s="479"/>
      <c r="I82" s="479"/>
      <c r="J82" s="480"/>
      <c r="K82" s="214"/>
      <c r="L82" s="389"/>
      <c r="M82" s="214"/>
      <c r="O82" s="479"/>
      <c r="P82" s="292"/>
      <c r="Q82" s="292"/>
    </row>
    <row r="83" spans="1:17">
      <c r="A83" s="228"/>
      <c r="B83" s="214" t="s">
        <v>1403</v>
      </c>
      <c r="C83" s="470" t="s">
        <v>1404</v>
      </c>
      <c r="D83" s="482" t="s">
        <v>136</v>
      </c>
      <c r="E83" s="483" t="s">
        <v>127</v>
      </c>
      <c r="F83" s="483" t="s">
        <v>127</v>
      </c>
      <c r="G83" s="483" t="s">
        <v>127</v>
      </c>
      <c r="H83" s="483" t="s">
        <v>127</v>
      </c>
      <c r="I83" s="482" t="s">
        <v>136</v>
      </c>
      <c r="J83" s="483" t="s">
        <v>127</v>
      </c>
      <c r="K83" s="483" t="s">
        <v>127</v>
      </c>
      <c r="L83" s="483" t="s">
        <v>127</v>
      </c>
      <c r="M83" s="483" t="s">
        <v>127</v>
      </c>
      <c r="O83" s="483" t="s">
        <v>127</v>
      </c>
      <c r="P83" s="483" t="s">
        <v>127</v>
      </c>
      <c r="Q83" s="292" t="s">
        <v>127</v>
      </c>
    </row>
    <row r="84" spans="1:17">
      <c r="A84" s="228"/>
      <c r="B84" s="214" t="s">
        <v>1403</v>
      </c>
      <c r="C84" s="470" t="s">
        <v>237</v>
      </c>
      <c r="D84" s="482" t="s">
        <v>136</v>
      </c>
      <c r="E84" s="483" t="s">
        <v>127</v>
      </c>
      <c r="F84" s="483" t="s">
        <v>127</v>
      </c>
      <c r="G84" s="483" t="s">
        <v>127</v>
      </c>
      <c r="H84" s="483" t="s">
        <v>127</v>
      </c>
      <c r="I84" s="482" t="s">
        <v>136</v>
      </c>
      <c r="J84" s="482" t="s">
        <v>136</v>
      </c>
      <c r="K84" s="483" t="s">
        <v>127</v>
      </c>
      <c r="L84" s="483" t="s">
        <v>127</v>
      </c>
      <c r="M84" s="483" t="s">
        <v>127</v>
      </c>
      <c r="O84" s="483" t="s">
        <v>127</v>
      </c>
      <c r="P84" s="483" t="s">
        <v>127</v>
      </c>
      <c r="Q84" s="292" t="s">
        <v>127</v>
      </c>
    </row>
    <row r="85" spans="1:17">
      <c r="A85" s="228">
        <f>MAX(A$10:A84)+1</f>
        <v>17</v>
      </c>
      <c r="B85" s="213" t="s">
        <v>1389</v>
      </c>
      <c r="C85" s="219"/>
      <c r="D85" s="479"/>
      <c r="E85" s="479"/>
      <c r="F85" s="479"/>
      <c r="G85" s="484"/>
      <c r="H85" s="479"/>
      <c r="I85" s="479"/>
      <c r="J85" s="480"/>
      <c r="K85" s="214"/>
      <c r="L85" s="389"/>
      <c r="M85" s="214"/>
      <c r="O85" s="479"/>
      <c r="P85" s="292"/>
      <c r="Q85" s="292"/>
    </row>
    <row r="86" spans="1:17">
      <c r="A86" s="228"/>
      <c r="B86" s="214" t="s">
        <v>1390</v>
      </c>
      <c r="C86" s="470" t="s">
        <v>142</v>
      </c>
      <c r="D86" s="482" t="s">
        <v>136</v>
      </c>
      <c r="E86" s="483" t="s">
        <v>127</v>
      </c>
      <c r="F86" s="483" t="s">
        <v>127</v>
      </c>
      <c r="G86" s="483" t="s">
        <v>127</v>
      </c>
      <c r="H86" s="483" t="s">
        <v>136</v>
      </c>
      <c r="I86" s="482" t="s">
        <v>136</v>
      </c>
      <c r="J86" s="483" t="s">
        <v>136</v>
      </c>
      <c r="K86" s="483" t="s">
        <v>127</v>
      </c>
      <c r="L86" s="483" t="s">
        <v>136</v>
      </c>
      <c r="M86" s="483" t="s">
        <v>136</v>
      </c>
      <c r="O86" s="292" t="s">
        <v>136</v>
      </c>
      <c r="P86" s="483" t="s">
        <v>127</v>
      </c>
      <c r="Q86" s="483" t="s">
        <v>136</v>
      </c>
    </row>
    <row r="87" spans="1:17">
      <c r="A87" s="228"/>
      <c r="B87" s="214" t="s">
        <v>1390</v>
      </c>
      <c r="C87" s="470" t="s">
        <v>236</v>
      </c>
      <c r="D87" s="482" t="s">
        <v>136</v>
      </c>
      <c r="E87" s="483" t="s">
        <v>127</v>
      </c>
      <c r="F87" s="483" t="s">
        <v>127</v>
      </c>
      <c r="G87" s="483" t="s">
        <v>127</v>
      </c>
      <c r="H87" s="483" t="s">
        <v>127</v>
      </c>
      <c r="I87" s="482" t="s">
        <v>136</v>
      </c>
      <c r="J87" s="483" t="s">
        <v>136</v>
      </c>
      <c r="K87" s="483" t="s">
        <v>127</v>
      </c>
      <c r="L87" s="483" t="s">
        <v>136</v>
      </c>
      <c r="M87" s="483" t="s">
        <v>136</v>
      </c>
      <c r="O87" s="483" t="s">
        <v>127</v>
      </c>
      <c r="P87" s="292" t="s">
        <v>136</v>
      </c>
      <c r="Q87" s="483" t="s">
        <v>136</v>
      </c>
    </row>
    <row r="88" spans="1:17">
      <c r="A88" s="228"/>
      <c r="B88" s="214" t="s">
        <v>1405</v>
      </c>
      <c r="C88" s="470" t="s">
        <v>237</v>
      </c>
      <c r="D88" s="482" t="s">
        <v>136</v>
      </c>
      <c r="E88" s="483" t="s">
        <v>127</v>
      </c>
      <c r="F88" s="483" t="s">
        <v>127</v>
      </c>
      <c r="G88" s="483" t="s">
        <v>127</v>
      </c>
      <c r="H88" s="483" t="s">
        <v>136</v>
      </c>
      <c r="I88" s="483" t="s">
        <v>127</v>
      </c>
      <c r="J88" s="483" t="s">
        <v>136</v>
      </c>
      <c r="K88" s="483" t="s">
        <v>127</v>
      </c>
      <c r="L88" s="483" t="s">
        <v>136</v>
      </c>
      <c r="M88" s="483" t="s">
        <v>127</v>
      </c>
      <c r="O88" s="483" t="s">
        <v>127</v>
      </c>
      <c r="P88" s="292" t="s">
        <v>136</v>
      </c>
      <c r="Q88" s="292" t="s">
        <v>127</v>
      </c>
    </row>
    <row r="89" spans="1:17">
      <c r="A89" s="228">
        <f>MAX(A$10:A88)+1</f>
        <v>18</v>
      </c>
      <c r="B89" s="213" t="s">
        <v>1391</v>
      </c>
      <c r="C89" s="219"/>
      <c r="D89" s="479"/>
      <c r="E89" s="479"/>
      <c r="F89" s="479"/>
      <c r="G89" s="484"/>
      <c r="H89" s="479"/>
      <c r="I89" s="479"/>
      <c r="J89" s="480"/>
      <c r="K89" s="214"/>
      <c r="L89" s="389"/>
      <c r="M89" s="214"/>
      <c r="O89" s="479"/>
      <c r="P89" s="292"/>
      <c r="Q89" s="292"/>
    </row>
    <row r="90" spans="1:17">
      <c r="A90" s="228"/>
      <c r="B90" s="214" t="s">
        <v>1392</v>
      </c>
      <c r="C90" s="470" t="s">
        <v>1401</v>
      </c>
      <c r="D90" s="482" t="s">
        <v>136</v>
      </c>
      <c r="E90" s="483" t="s">
        <v>127</v>
      </c>
      <c r="F90" s="483" t="s">
        <v>127</v>
      </c>
      <c r="G90" s="483" t="s">
        <v>136</v>
      </c>
      <c r="H90" s="483" t="s">
        <v>136</v>
      </c>
      <c r="I90" s="482" t="s">
        <v>136</v>
      </c>
      <c r="J90" s="483" t="s">
        <v>136</v>
      </c>
      <c r="K90" s="483" t="s">
        <v>127</v>
      </c>
      <c r="L90" s="483" t="s">
        <v>136</v>
      </c>
      <c r="M90" s="483" t="s">
        <v>136</v>
      </c>
      <c r="O90" s="483" t="s">
        <v>136</v>
      </c>
      <c r="P90" s="483" t="s">
        <v>127</v>
      </c>
      <c r="Q90" s="292" t="s">
        <v>127</v>
      </c>
    </row>
    <row r="91" spans="1:17">
      <c r="A91" s="228">
        <f>MAX(A$10:A90)+1</f>
        <v>19</v>
      </c>
      <c r="B91" s="213" t="s">
        <v>1407</v>
      </c>
      <c r="C91" s="219"/>
      <c r="D91" s="479"/>
      <c r="E91" s="479"/>
      <c r="F91" s="479"/>
      <c r="G91" s="484"/>
      <c r="H91" s="479"/>
      <c r="I91" s="479"/>
      <c r="J91" s="480"/>
      <c r="K91" s="214"/>
      <c r="L91" s="389"/>
      <c r="M91" s="214"/>
      <c r="O91" s="479"/>
      <c r="P91" s="292"/>
      <c r="Q91" s="292"/>
    </row>
    <row r="92" spans="1:17">
      <c r="A92" s="228"/>
      <c r="B92" s="214" t="s">
        <v>225</v>
      </c>
      <c r="C92" s="470" t="s">
        <v>176</v>
      </c>
      <c r="D92" s="482" t="s">
        <v>138</v>
      </c>
      <c r="E92" s="483" t="s">
        <v>136</v>
      </c>
      <c r="F92" s="483" t="s">
        <v>136</v>
      </c>
      <c r="G92" s="483" t="s">
        <v>136</v>
      </c>
      <c r="H92" s="483" t="s">
        <v>136</v>
      </c>
      <c r="I92" s="482" t="s">
        <v>136</v>
      </c>
      <c r="J92" s="483" t="s">
        <v>127</v>
      </c>
      <c r="K92" s="483" t="s">
        <v>136</v>
      </c>
      <c r="L92" s="483" t="s">
        <v>136</v>
      </c>
      <c r="M92" s="483" t="s">
        <v>136</v>
      </c>
      <c r="O92" s="483" t="s">
        <v>136</v>
      </c>
      <c r="P92" s="483" t="s">
        <v>127</v>
      </c>
      <c r="Q92" s="482" t="s">
        <v>136</v>
      </c>
    </row>
    <row r="93" spans="1:17">
      <c r="A93" s="228">
        <f>MAX(A$10:A92)+1</f>
        <v>20</v>
      </c>
      <c r="B93" s="213" t="s">
        <v>226</v>
      </c>
      <c r="C93" s="219"/>
      <c r="D93" s="479"/>
      <c r="E93" s="479"/>
      <c r="F93" s="479"/>
      <c r="G93" s="484"/>
      <c r="H93" s="479"/>
      <c r="I93" s="479"/>
      <c r="J93" s="480"/>
      <c r="K93" s="214"/>
      <c r="L93" s="389"/>
      <c r="M93" s="214"/>
      <c r="O93" s="479"/>
      <c r="P93" s="292"/>
      <c r="Q93" s="292"/>
    </row>
    <row r="94" spans="1:17">
      <c r="A94" s="228"/>
      <c r="B94" s="214" t="s">
        <v>227</v>
      </c>
      <c r="C94" s="470" t="s">
        <v>228</v>
      </c>
      <c r="D94" s="482" t="s">
        <v>136</v>
      </c>
      <c r="E94" s="482" t="s">
        <v>136</v>
      </c>
      <c r="F94" s="483" t="s">
        <v>127</v>
      </c>
      <c r="G94" s="483" t="s">
        <v>136</v>
      </c>
      <c r="H94" s="483" t="s">
        <v>136</v>
      </c>
      <c r="I94" s="482" t="s">
        <v>136</v>
      </c>
      <c r="J94" s="483" t="s">
        <v>136</v>
      </c>
      <c r="K94" s="483" t="s">
        <v>136</v>
      </c>
      <c r="L94" s="483" t="s">
        <v>136</v>
      </c>
      <c r="M94" s="483" t="s">
        <v>136</v>
      </c>
      <c r="O94" s="483" t="s">
        <v>136</v>
      </c>
      <c r="P94" s="483" t="s">
        <v>127</v>
      </c>
      <c r="Q94" s="482" t="s">
        <v>136</v>
      </c>
    </row>
    <row r="95" spans="1:17">
      <c r="A95" s="228"/>
      <c r="B95" s="214" t="s">
        <v>229</v>
      </c>
      <c r="C95" s="470" t="s">
        <v>169</v>
      </c>
      <c r="D95" s="482" t="s">
        <v>138</v>
      </c>
      <c r="E95" s="483" t="s">
        <v>127</v>
      </c>
      <c r="F95" s="483" t="s">
        <v>127</v>
      </c>
      <c r="G95" s="483" t="s">
        <v>127</v>
      </c>
      <c r="H95" s="483" t="s">
        <v>127</v>
      </c>
      <c r="I95" s="483" t="s">
        <v>127</v>
      </c>
      <c r="J95" s="483" t="s">
        <v>127</v>
      </c>
      <c r="K95" s="483" t="s">
        <v>136</v>
      </c>
      <c r="L95" s="483" t="s">
        <v>136</v>
      </c>
      <c r="M95" s="483" t="s">
        <v>127</v>
      </c>
      <c r="O95" s="292" t="s">
        <v>127</v>
      </c>
      <c r="P95" s="483" t="s">
        <v>127</v>
      </c>
      <c r="Q95" s="292" t="s">
        <v>127</v>
      </c>
    </row>
    <row r="96" spans="1:17" ht="16" thickBot="1">
      <c r="B96" s="460" t="s">
        <v>1</v>
      </c>
      <c r="C96" s="487">
        <f>COUNTIF(C10:C95,"*")</f>
        <v>66</v>
      </c>
      <c r="D96" s="487">
        <f t="shared" ref="D96:M96" si="0">COUNTIF(D10:D95,"✓")</f>
        <v>54</v>
      </c>
      <c r="E96" s="487">
        <f t="shared" si="0"/>
        <v>8</v>
      </c>
      <c r="F96" s="487">
        <f t="shared" si="0"/>
        <v>13</v>
      </c>
      <c r="G96" s="487">
        <f t="shared" si="0"/>
        <v>23</v>
      </c>
      <c r="H96" s="487">
        <f t="shared" si="0"/>
        <v>52</v>
      </c>
      <c r="I96" s="487">
        <f t="shared" si="0"/>
        <v>40</v>
      </c>
      <c r="J96" s="487">
        <f t="shared" si="0"/>
        <v>18</v>
      </c>
      <c r="K96" s="487">
        <f t="shared" si="0"/>
        <v>32</v>
      </c>
      <c r="L96" s="487">
        <f t="shared" si="0"/>
        <v>42</v>
      </c>
      <c r="M96" s="487">
        <f t="shared" si="0"/>
        <v>25</v>
      </c>
      <c r="O96" s="487">
        <f>COUNTIF(O10:O95,"✓")</f>
        <v>31</v>
      </c>
      <c r="P96" s="487">
        <f>COUNTIF(P10:P95,"✓")</f>
        <v>16</v>
      </c>
      <c r="Q96" s="487">
        <f>COUNTIF(Q10:Q95,"✓")</f>
        <v>24</v>
      </c>
    </row>
    <row r="97" spans="1:17" ht="16" thickTop="1">
      <c r="C97" s="292"/>
      <c r="D97" s="292"/>
      <c r="E97" s="292"/>
      <c r="F97" s="292"/>
      <c r="G97" s="292"/>
      <c r="H97" s="292"/>
      <c r="I97" s="292"/>
      <c r="J97" s="292"/>
      <c r="K97" s="292"/>
      <c r="L97" s="292"/>
      <c r="M97" s="292"/>
      <c r="O97" s="292"/>
      <c r="P97" s="292"/>
      <c r="Q97" s="292"/>
    </row>
    <row r="98" spans="1:17">
      <c r="A98" s="488" t="s">
        <v>139</v>
      </c>
      <c r="C98" s="292"/>
      <c r="D98" s="292"/>
      <c r="E98" s="292"/>
      <c r="F98" s="292"/>
      <c r="G98" s="292"/>
      <c r="H98" s="292"/>
      <c r="I98" s="292"/>
      <c r="J98" s="292"/>
      <c r="K98" s="292"/>
      <c r="L98" s="292"/>
      <c r="M98" s="292"/>
      <c r="O98" s="292"/>
      <c r="P98" s="292"/>
      <c r="Q98" s="292"/>
    </row>
    <row r="99" spans="1:17" s="462" customFormat="1">
      <c r="A99" s="464" t="s">
        <v>21</v>
      </c>
      <c r="B99" s="489" t="s">
        <v>1408</v>
      </c>
      <c r="D99" s="463"/>
      <c r="E99" s="463"/>
      <c r="F99" s="463"/>
      <c r="G99" s="463"/>
      <c r="H99" s="463"/>
      <c r="I99" s="463"/>
      <c r="J99" s="463"/>
      <c r="K99" s="741"/>
      <c r="L99" s="741"/>
      <c r="M99" s="463"/>
      <c r="N99" s="470"/>
      <c r="O99" s="463"/>
      <c r="P99" s="741"/>
      <c r="Q99" s="741"/>
    </row>
    <row r="100" spans="1:17" s="462" customFormat="1">
      <c r="A100" s="464"/>
      <c r="B100" s="462" t="s">
        <v>1463</v>
      </c>
      <c r="D100" s="463"/>
      <c r="E100" s="463"/>
      <c r="F100" s="463"/>
      <c r="G100" s="463"/>
      <c r="H100" s="463"/>
      <c r="I100" s="463"/>
      <c r="J100" s="463"/>
      <c r="K100" s="741"/>
      <c r="L100" s="741"/>
      <c r="M100" s="463"/>
      <c r="N100" s="470"/>
      <c r="O100" s="463"/>
      <c r="P100" s="741"/>
      <c r="Q100" s="741"/>
    </row>
    <row r="101" spans="1:17" s="462" customFormat="1" ht="13" customHeight="1">
      <c r="A101" s="464" t="s">
        <v>22</v>
      </c>
      <c r="B101" s="490" t="str">
        <f>"See "&amp;'[1]Electric (6)'!E1&amp;", page 5."</f>
        <v>See , page 5.</v>
      </c>
      <c r="C101" s="490"/>
      <c r="D101" s="490"/>
      <c r="E101" s="490"/>
      <c r="F101" s="490"/>
      <c r="G101" s="490"/>
      <c r="H101" s="490"/>
      <c r="I101" s="490"/>
      <c r="J101" s="490"/>
      <c r="K101" s="490"/>
      <c r="L101" s="490"/>
      <c r="M101" s="490"/>
      <c r="N101" s="470"/>
      <c r="O101" s="490"/>
      <c r="P101" s="490"/>
      <c r="Q101" s="490"/>
    </row>
    <row r="102" spans="1:17" s="462" customFormat="1" ht="5.65" customHeight="1">
      <c r="A102" s="464"/>
      <c r="C102" s="463"/>
      <c r="D102" s="463"/>
      <c r="E102" s="463"/>
      <c r="F102" s="463"/>
      <c r="G102" s="463"/>
      <c r="H102" s="463"/>
      <c r="I102" s="463"/>
      <c r="J102" s="463"/>
      <c r="K102" s="463"/>
      <c r="L102" s="463"/>
      <c r="M102" s="463"/>
      <c r="N102" s="470"/>
      <c r="O102" s="463"/>
      <c r="Q102" s="463"/>
    </row>
    <row r="103" spans="1:17" s="462" customFormat="1" ht="13.15" customHeight="1">
      <c r="A103" s="462" t="s">
        <v>140</v>
      </c>
      <c r="C103" s="463"/>
      <c r="D103" s="463"/>
      <c r="E103" s="463"/>
      <c r="F103" s="463"/>
      <c r="G103" s="463"/>
      <c r="H103" s="463"/>
      <c r="I103" s="463"/>
      <c r="J103" s="463"/>
      <c r="K103" s="463"/>
      <c r="L103" s="463"/>
      <c r="M103" s="463"/>
      <c r="N103" s="470"/>
      <c r="O103" s="463"/>
      <c r="Q103" s="463"/>
    </row>
    <row r="104" spans="1:17" ht="13.15" customHeight="1"/>
  </sheetData>
  <mergeCells count="3">
    <mergeCell ref="D6:M6"/>
    <mergeCell ref="O6:Q6"/>
    <mergeCell ref="I8:I9"/>
  </mergeCells>
  <printOptions horizontalCentered="1"/>
  <pageMargins left="0.5" right="0.5" top="1" bottom="0.5" header="0.25" footer="0.5"/>
  <pageSetup scale="72" firstPageNumber="2" fitToHeight="2" orientation="landscape" useFirstPageNumber="1" r:id="rId1"/>
  <headerFooter>
    <oddHeader>&amp;L&amp;"Times New Roman,Bold"&amp;12REGULATORY MECHANISMS
&amp;UUTILITY GROUP OPERATING COS.&amp;R&amp;"Times New Roman,Bold"&amp;12Exhibit AMM-3
&amp;P of 6</oddHeader>
  </headerFooter>
  <rowBreaks count="1" manualBreakCount="1">
    <brk id="44" max="16"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C151-55BF-44F4-8856-79D2569284F1}">
  <dimension ref="A1:E66"/>
  <sheetViews>
    <sheetView view="pageBreakPreview" zoomScaleNormal="100" zoomScaleSheetLayoutView="100" workbookViewId="0"/>
  </sheetViews>
  <sheetFormatPr defaultColWidth="8.7265625" defaultRowHeight="13"/>
  <cols>
    <col min="1" max="1" width="3.1796875" style="111" customWidth="1"/>
    <col min="2" max="2" width="30.26953125" style="111" customWidth="1"/>
    <col min="3" max="3" width="5.54296875" style="111" bestFit="1" customWidth="1"/>
    <col min="4" max="4" width="52.7265625" style="111" customWidth="1"/>
    <col min="5" max="5" width="3.1796875" style="111" customWidth="1"/>
    <col min="6" max="16384" width="8.7265625" style="111"/>
  </cols>
  <sheetData>
    <row r="1" spans="1:5">
      <c r="E1" s="742"/>
    </row>
    <row r="2" spans="1:5">
      <c r="E2" s="742"/>
    </row>
    <row r="3" spans="1:5" ht="15">
      <c r="A3" s="455" t="s">
        <v>1436</v>
      </c>
      <c r="B3" s="455"/>
      <c r="C3" s="455"/>
      <c r="D3" s="455"/>
      <c r="E3" s="455"/>
    </row>
    <row r="4" spans="1:5" ht="15.65" customHeight="1"/>
    <row r="6" spans="1:5">
      <c r="B6" s="456" t="s">
        <v>78</v>
      </c>
      <c r="C6" s="457" t="s">
        <v>141</v>
      </c>
      <c r="D6" s="458" t="s">
        <v>1437</v>
      </c>
    </row>
    <row r="7" spans="1:5">
      <c r="A7" s="459">
        <v>1</v>
      </c>
      <c r="B7" s="460" t="s">
        <v>143</v>
      </c>
      <c r="C7" s="461"/>
    </row>
    <row r="8" spans="1:5">
      <c r="A8" s="459"/>
      <c r="B8" s="462" t="s">
        <v>144</v>
      </c>
      <c r="C8" s="463" t="s">
        <v>145</v>
      </c>
      <c r="D8" s="111" t="s">
        <v>1438</v>
      </c>
    </row>
    <row r="9" spans="1:5">
      <c r="A9" s="459">
        <f>MAX(A$6:A8)+1</f>
        <v>2</v>
      </c>
      <c r="B9" s="460" t="s">
        <v>1395</v>
      </c>
      <c r="C9" s="461"/>
    </row>
    <row r="10" spans="1:5">
      <c r="A10" s="464"/>
      <c r="B10" s="462" t="s">
        <v>154</v>
      </c>
      <c r="C10" s="463" t="s">
        <v>155</v>
      </c>
      <c r="D10" s="111" t="s">
        <v>1440</v>
      </c>
    </row>
    <row r="11" spans="1:5">
      <c r="A11" s="459"/>
      <c r="B11" s="462" t="s">
        <v>158</v>
      </c>
      <c r="C11" s="463" t="s">
        <v>159</v>
      </c>
      <c r="D11" s="111" t="s">
        <v>1441</v>
      </c>
    </row>
    <row r="12" spans="1:5">
      <c r="A12" s="459"/>
      <c r="B12" s="462" t="s">
        <v>154</v>
      </c>
      <c r="C12" s="463" t="s">
        <v>160</v>
      </c>
      <c r="D12" s="111" t="s">
        <v>1440</v>
      </c>
    </row>
    <row r="13" spans="1:5">
      <c r="A13" s="459"/>
      <c r="B13" s="462" t="s">
        <v>162</v>
      </c>
      <c r="C13" s="463" t="s">
        <v>163</v>
      </c>
      <c r="D13" s="111" t="s">
        <v>1440</v>
      </c>
    </row>
    <row r="14" spans="1:5">
      <c r="A14" s="459"/>
      <c r="B14" s="462" t="s">
        <v>166</v>
      </c>
      <c r="C14" s="463" t="s">
        <v>167</v>
      </c>
      <c r="D14" s="111" t="s">
        <v>1440</v>
      </c>
    </row>
    <row r="15" spans="1:5">
      <c r="A15" s="459"/>
      <c r="B15" s="462" t="s">
        <v>172</v>
      </c>
      <c r="C15" s="463" t="s">
        <v>173</v>
      </c>
      <c r="D15" s="111" t="s">
        <v>1440</v>
      </c>
    </row>
    <row r="16" spans="1:5">
      <c r="A16" s="459">
        <f>MAX(A$6:A15)+1</f>
        <v>3</v>
      </c>
      <c r="B16" s="460" t="s">
        <v>1562</v>
      </c>
      <c r="C16" s="461"/>
    </row>
    <row r="17" spans="1:4">
      <c r="A17" s="459"/>
      <c r="B17" s="462" t="s">
        <v>31</v>
      </c>
      <c r="C17" s="463" t="s">
        <v>222</v>
      </c>
      <c r="D17" s="111" t="s">
        <v>1577</v>
      </c>
    </row>
    <row r="18" spans="1:4">
      <c r="A18" s="464"/>
      <c r="B18" s="462" t="s">
        <v>31</v>
      </c>
      <c r="C18" s="463" t="s">
        <v>1565</v>
      </c>
      <c r="D18" s="111" t="s">
        <v>1577</v>
      </c>
    </row>
    <row r="19" spans="1:4">
      <c r="A19" s="459">
        <f>MAX(A$6:A18)+1</f>
        <v>4</v>
      </c>
      <c r="B19" s="460" t="s">
        <v>1381</v>
      </c>
      <c r="C19" s="461"/>
    </row>
    <row r="20" spans="1:4">
      <c r="A20" s="459"/>
      <c r="B20" s="462" t="s">
        <v>1397</v>
      </c>
      <c r="C20" s="463" t="s">
        <v>233</v>
      </c>
      <c r="D20" s="111" t="s">
        <v>1442</v>
      </c>
    </row>
    <row r="21" spans="1:4">
      <c r="A21" s="459">
        <f>MAX(A$6:A20)+1</f>
        <v>5</v>
      </c>
      <c r="B21" s="460" t="s">
        <v>1566</v>
      </c>
      <c r="C21" s="461"/>
    </row>
    <row r="22" spans="1:4">
      <c r="A22" s="464"/>
      <c r="B22" s="462" t="s">
        <v>1578</v>
      </c>
      <c r="C22" s="463" t="s">
        <v>169</v>
      </c>
      <c r="D22" s="111" t="s">
        <v>1579</v>
      </c>
    </row>
    <row r="23" spans="1:4">
      <c r="A23" s="459">
        <f>MAX(A$6:A22)+1</f>
        <v>6</v>
      </c>
      <c r="B23" s="460" t="s">
        <v>174</v>
      </c>
      <c r="C23" s="461"/>
    </row>
    <row r="24" spans="1:4">
      <c r="A24" s="459"/>
      <c r="B24" s="462" t="s">
        <v>175</v>
      </c>
      <c r="C24" s="463" t="s">
        <v>161</v>
      </c>
      <c r="D24" s="111" t="s">
        <v>1443</v>
      </c>
    </row>
    <row r="25" spans="1:4">
      <c r="A25" s="459">
        <f>MAX(A$6:A24)+1</f>
        <v>7</v>
      </c>
      <c r="B25" s="460" t="s">
        <v>1385</v>
      </c>
      <c r="C25" s="461"/>
    </row>
    <row r="26" spans="1:4">
      <c r="A26" s="459"/>
      <c r="B26" s="462" t="s">
        <v>1387</v>
      </c>
      <c r="C26" s="463" t="s">
        <v>190</v>
      </c>
      <c r="D26" s="111" t="s">
        <v>1444</v>
      </c>
    </row>
    <row r="27" spans="1:4">
      <c r="A27" s="464"/>
      <c r="B27" s="462" t="s">
        <v>1400</v>
      </c>
      <c r="C27" s="463" t="s">
        <v>171</v>
      </c>
      <c r="D27" s="111" t="s">
        <v>1445</v>
      </c>
    </row>
    <row r="28" spans="1:4">
      <c r="A28" s="459">
        <f>MAX(A$6:A27)+1</f>
        <v>8</v>
      </c>
      <c r="B28" s="460" t="s">
        <v>179</v>
      </c>
      <c r="C28" s="461"/>
    </row>
    <row r="29" spans="1:4">
      <c r="A29" s="459"/>
      <c r="B29" s="462" t="s">
        <v>180</v>
      </c>
      <c r="C29" s="463" t="s">
        <v>161</v>
      </c>
      <c r="D29" s="111" t="s">
        <v>1443</v>
      </c>
    </row>
    <row r="30" spans="1:4">
      <c r="A30" s="459">
        <f>MAX(A$6:A29)+1</f>
        <v>9</v>
      </c>
      <c r="B30" s="460" t="s">
        <v>181</v>
      </c>
      <c r="C30" s="461"/>
    </row>
    <row r="31" spans="1:4">
      <c r="A31" s="459"/>
      <c r="B31" s="462" t="s">
        <v>182</v>
      </c>
      <c r="C31" s="463" t="s">
        <v>183</v>
      </c>
      <c r="D31" s="111" t="s">
        <v>1446</v>
      </c>
    </row>
    <row r="32" spans="1:4">
      <c r="A32" s="459"/>
      <c r="B32" s="462" t="s">
        <v>189</v>
      </c>
      <c r="C32" s="463" t="s">
        <v>163</v>
      </c>
      <c r="D32" s="111" t="s">
        <v>1446</v>
      </c>
    </row>
    <row r="33" spans="1:4">
      <c r="A33" s="459">
        <f>MAX(A$6:A32)+1</f>
        <v>10</v>
      </c>
      <c r="B33" s="460" t="s">
        <v>1569</v>
      </c>
      <c r="C33" s="461"/>
    </row>
    <row r="34" spans="1:4" ht="26">
      <c r="A34" s="459"/>
      <c r="B34" s="468" t="s">
        <v>1570</v>
      </c>
      <c r="C34" s="466" t="s">
        <v>228</v>
      </c>
      <c r="D34" s="467" t="s">
        <v>1580</v>
      </c>
    </row>
    <row r="35" spans="1:4">
      <c r="A35" s="459">
        <f>MAX(A$6:A34)+1</f>
        <v>11</v>
      </c>
      <c r="B35" s="460" t="s">
        <v>191</v>
      </c>
      <c r="C35" s="461"/>
    </row>
    <row r="36" spans="1:4">
      <c r="A36" s="459"/>
      <c r="B36" s="462" t="s">
        <v>194</v>
      </c>
      <c r="C36" s="463" t="s">
        <v>160</v>
      </c>
      <c r="D36" s="111" t="s">
        <v>1447</v>
      </c>
    </row>
    <row r="37" spans="1:4">
      <c r="A37" s="459"/>
      <c r="B37" s="462" t="s">
        <v>195</v>
      </c>
      <c r="C37" s="463" t="s">
        <v>196</v>
      </c>
      <c r="D37" s="111" t="s">
        <v>1448</v>
      </c>
    </row>
    <row r="38" spans="1:4">
      <c r="A38" s="459"/>
      <c r="B38" s="462" t="s">
        <v>197</v>
      </c>
      <c r="C38" s="463" t="s">
        <v>169</v>
      </c>
      <c r="D38" s="111" t="s">
        <v>1449</v>
      </c>
    </row>
    <row r="39" spans="1:4">
      <c r="A39" s="459">
        <f>MAX(A$6:A38)+1</f>
        <v>12</v>
      </c>
      <c r="B39" s="460" t="s">
        <v>198</v>
      </c>
      <c r="C39" s="461"/>
    </row>
    <row r="40" spans="1:4">
      <c r="A40" s="459"/>
      <c r="B40" s="462" t="s">
        <v>199</v>
      </c>
      <c r="C40" s="463" t="s">
        <v>200</v>
      </c>
      <c r="D40" s="111" t="s">
        <v>1439</v>
      </c>
    </row>
    <row r="41" spans="1:4">
      <c r="A41" s="459"/>
      <c r="B41" s="462" t="s">
        <v>202</v>
      </c>
      <c r="C41" s="463" t="s">
        <v>200</v>
      </c>
      <c r="D41" s="111" t="s">
        <v>1439</v>
      </c>
    </row>
    <row r="42" spans="1:4">
      <c r="A42" s="459"/>
      <c r="B42" s="462" t="s">
        <v>202</v>
      </c>
      <c r="C42" s="463" t="s">
        <v>152</v>
      </c>
      <c r="D42" s="111" t="s">
        <v>1439</v>
      </c>
    </row>
    <row r="43" spans="1:4">
      <c r="A43" s="459"/>
      <c r="B43" s="462" t="s">
        <v>203</v>
      </c>
      <c r="C43" s="463" t="s">
        <v>152</v>
      </c>
      <c r="D43" s="111" t="s">
        <v>1439</v>
      </c>
    </row>
    <row r="44" spans="1:4">
      <c r="A44" s="459">
        <f>MAX(A$6:A43)+1</f>
        <v>13</v>
      </c>
      <c r="B44" s="460" t="s">
        <v>204</v>
      </c>
      <c r="C44" s="461"/>
    </row>
    <row r="45" spans="1:4">
      <c r="A45" s="459"/>
      <c r="B45" s="462" t="s">
        <v>205</v>
      </c>
      <c r="C45" s="463" t="s">
        <v>206</v>
      </c>
      <c r="D45" s="111" t="s">
        <v>1450</v>
      </c>
    </row>
    <row r="46" spans="1:4" ht="26">
      <c r="A46" s="459"/>
      <c r="B46" s="465" t="s">
        <v>207</v>
      </c>
      <c r="C46" s="466" t="s">
        <v>208</v>
      </c>
      <c r="D46" s="467" t="s">
        <v>1451</v>
      </c>
    </row>
    <row r="47" spans="1:4" ht="26">
      <c r="A47" s="459"/>
      <c r="B47" s="468" t="s">
        <v>209</v>
      </c>
      <c r="C47" s="466" t="s">
        <v>210</v>
      </c>
      <c r="D47" s="467" t="s">
        <v>1452</v>
      </c>
    </row>
    <row r="48" spans="1:4">
      <c r="A48" s="459">
        <f>MAX(A$6:A47)+1</f>
        <v>14</v>
      </c>
      <c r="B48" s="460" t="s">
        <v>1571</v>
      </c>
      <c r="C48" s="461"/>
    </row>
    <row r="49" spans="1:4">
      <c r="A49" s="459"/>
      <c r="B49" s="462" t="s">
        <v>1574</v>
      </c>
      <c r="C49" s="463" t="s">
        <v>163</v>
      </c>
      <c r="D49" s="111" t="s">
        <v>1581</v>
      </c>
    </row>
    <row r="50" spans="1:4">
      <c r="A50" s="459"/>
      <c r="B50" s="462" t="s">
        <v>1575</v>
      </c>
      <c r="C50" s="463" t="s">
        <v>219</v>
      </c>
      <c r="D50" s="111" t="s">
        <v>1582</v>
      </c>
    </row>
    <row r="51" spans="1:4">
      <c r="A51" s="459"/>
      <c r="B51" s="462" t="s">
        <v>1576</v>
      </c>
      <c r="C51" s="463" t="s">
        <v>173</v>
      </c>
      <c r="D51" s="111" t="s">
        <v>1583</v>
      </c>
    </row>
    <row r="52" spans="1:4">
      <c r="A52" s="459"/>
      <c r="B52" s="462" t="s">
        <v>1572</v>
      </c>
      <c r="C52" s="463" t="s">
        <v>173</v>
      </c>
      <c r="D52" s="111" t="s">
        <v>1583</v>
      </c>
    </row>
    <row r="53" spans="1:4">
      <c r="A53" s="459">
        <f>MAX(A$6:A52)+1</f>
        <v>15</v>
      </c>
      <c r="B53" s="460" t="s">
        <v>220</v>
      </c>
      <c r="C53" s="461"/>
    </row>
    <row r="54" spans="1:4">
      <c r="A54" s="459"/>
      <c r="B54" s="462" t="s">
        <v>221</v>
      </c>
      <c r="C54" s="463" t="s">
        <v>222</v>
      </c>
      <c r="D54" s="111" t="s">
        <v>1453</v>
      </c>
    </row>
    <row r="55" spans="1:4">
      <c r="A55" s="459">
        <f>MAX(A$6:A54)+1</f>
        <v>16</v>
      </c>
      <c r="B55" s="460" t="s">
        <v>1402</v>
      </c>
      <c r="C55" s="461"/>
    </row>
    <row r="56" spans="1:4">
      <c r="A56" s="459"/>
      <c r="B56" s="462" t="s">
        <v>1403</v>
      </c>
      <c r="C56" s="463" t="s">
        <v>1404</v>
      </c>
      <c r="D56" s="111" t="s">
        <v>1439</v>
      </c>
    </row>
    <row r="57" spans="1:4">
      <c r="A57" s="459"/>
      <c r="B57" s="462" t="s">
        <v>1403</v>
      </c>
      <c r="C57" s="463" t="s">
        <v>237</v>
      </c>
      <c r="D57" s="111" t="s">
        <v>1439</v>
      </c>
    </row>
    <row r="58" spans="1:4">
      <c r="A58" s="459">
        <f>MAX(A$6:A57)+1</f>
        <v>17</v>
      </c>
      <c r="B58" s="460" t="s">
        <v>1389</v>
      </c>
      <c r="C58" s="461"/>
    </row>
    <row r="59" spans="1:4">
      <c r="A59" s="459"/>
      <c r="B59" s="462" t="s">
        <v>1390</v>
      </c>
      <c r="C59" s="463" t="s">
        <v>142</v>
      </c>
      <c r="D59" s="111" t="s">
        <v>1454</v>
      </c>
    </row>
    <row r="60" spans="1:4">
      <c r="A60" s="459"/>
      <c r="B60" s="462" t="s">
        <v>1390</v>
      </c>
      <c r="C60" s="463" t="s">
        <v>236</v>
      </c>
      <c r="D60" s="111" t="s">
        <v>1454</v>
      </c>
    </row>
    <row r="61" spans="1:4">
      <c r="A61" s="459">
        <f>MAX(A$6:A60)+1</f>
        <v>18</v>
      </c>
      <c r="B61" s="460" t="s">
        <v>1391</v>
      </c>
      <c r="C61" s="461"/>
    </row>
    <row r="62" spans="1:4" ht="26">
      <c r="A62" s="459"/>
      <c r="B62" s="468" t="s">
        <v>1392</v>
      </c>
      <c r="C62" s="466" t="s">
        <v>1401</v>
      </c>
      <c r="D62" s="469" t="s">
        <v>1455</v>
      </c>
    </row>
    <row r="63" spans="1:4">
      <c r="A63" s="459">
        <f>MAX(A$6:A62)+1</f>
        <v>19</v>
      </c>
      <c r="B63" s="460" t="s">
        <v>1407</v>
      </c>
      <c r="C63" s="461"/>
    </row>
    <row r="64" spans="1:4">
      <c r="A64" s="459"/>
      <c r="B64" s="462" t="s">
        <v>225</v>
      </c>
      <c r="C64" s="463" t="s">
        <v>176</v>
      </c>
      <c r="D64" s="111" t="s">
        <v>1456</v>
      </c>
    </row>
    <row r="65" spans="1:4">
      <c r="A65" s="459">
        <f>MAX(A$6:A64)+1</f>
        <v>20</v>
      </c>
      <c r="B65" s="460" t="s">
        <v>226</v>
      </c>
      <c r="C65" s="461"/>
    </row>
    <row r="66" spans="1:4">
      <c r="A66" s="459"/>
      <c r="B66" s="462" t="s">
        <v>227</v>
      </c>
      <c r="C66" s="463" t="s">
        <v>228</v>
      </c>
      <c r="D66" s="111" t="s">
        <v>1457</v>
      </c>
    </row>
  </sheetData>
  <printOptions horizontalCentered="1"/>
  <pageMargins left="0.5" right="0.5" top="0.75" bottom="0.25" header="0.3" footer="0.3"/>
  <pageSetup firstPageNumber="5" fitToHeight="4" orientation="portrait" useFirstPageNumber="1" r:id="rId1"/>
  <headerFooter>
    <oddHeader>&amp;L&amp;"Times New Roman,Bold"&amp;12UTILITY GROUP
&amp;UNOTE (b) - OTHER RECOVERY MECHANISMS&amp;R&amp;"Times New Roman,Bold"&amp;12Exhibit AMM-3
&amp;P of 6</oddHeader>
  </headerFooter>
  <rowBreaks count="1" manualBreakCount="1">
    <brk id="52" max="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8"/>
  <dimension ref="A1:AN88"/>
  <sheetViews>
    <sheetView view="pageBreakPreview" zoomScaleNormal="100" zoomScaleSheetLayoutView="100" workbookViewId="0"/>
  </sheetViews>
  <sheetFormatPr defaultColWidth="10.26953125" defaultRowHeight="15.5"/>
  <cols>
    <col min="1" max="1" width="4.26953125" style="214" customWidth="1"/>
    <col min="2" max="2" width="31.26953125" style="214" customWidth="1"/>
    <col min="3" max="3" width="9.7265625" style="214" customWidth="1"/>
    <col min="4" max="4" width="10.26953125" style="214" customWidth="1"/>
    <col min="5" max="5" width="10.7265625" style="214" customWidth="1"/>
    <col min="6" max="6" width="10.26953125" style="214" customWidth="1"/>
    <col min="7" max="8" width="4.26953125" style="214" customWidth="1"/>
    <col min="9" max="9" width="10.81640625" style="214" bestFit="1" customWidth="1"/>
    <col min="10" max="11" width="10.26953125" style="214" customWidth="1"/>
    <col min="12" max="12" width="11.453125" style="214" customWidth="1"/>
    <col min="13" max="13" width="29.54296875" style="214" customWidth="1"/>
    <col min="14" max="15" width="4.26953125" style="214" customWidth="1"/>
    <col min="16" max="16" width="31.26953125" style="214" customWidth="1"/>
    <col min="17" max="17" width="9.7265625" style="214" customWidth="1"/>
    <col min="18" max="19" width="10.26953125" style="214" customWidth="1"/>
    <col min="20" max="20" width="11.7265625" style="214" customWidth="1"/>
    <col min="21" max="21" width="4.26953125" style="214" customWidth="1"/>
    <col min="22" max="23" width="11.7265625" style="214" customWidth="1"/>
    <col min="24" max="40" width="10.26953125" style="216"/>
    <col min="41" max="16384" width="10.26953125" style="214"/>
  </cols>
  <sheetData>
    <row r="1" spans="1:40">
      <c r="A1" s="213" t="str">
        <f>'Exhibit List'!C6</f>
        <v>CAPITAL STRUCTURE</v>
      </c>
      <c r="C1" s="213"/>
      <c r="G1" s="215" t="str">
        <f>'Exhibit List'!B6</f>
        <v>Exhibit AMM-4</v>
      </c>
      <c r="V1" s="216"/>
      <c r="W1" s="216"/>
      <c r="AH1" s="214"/>
      <c r="AI1" s="214"/>
      <c r="AJ1" s="214"/>
      <c r="AK1" s="214"/>
      <c r="AL1" s="214"/>
      <c r="AM1" s="214"/>
      <c r="AN1" s="214"/>
    </row>
    <row r="2" spans="1:40">
      <c r="B2" s="91"/>
      <c r="G2" s="215"/>
      <c r="I2" s="217"/>
      <c r="V2" s="216"/>
      <c r="W2" s="216"/>
      <c r="AH2" s="214"/>
      <c r="AI2" s="214"/>
      <c r="AJ2" s="214"/>
      <c r="AK2" s="214"/>
      <c r="AL2" s="214"/>
      <c r="AM2" s="214"/>
      <c r="AN2" s="214"/>
    </row>
    <row r="3" spans="1:40">
      <c r="A3" s="218" t="str">
        <f>'Exhibit List'!D6</f>
        <v>UTILITY GROUP OPERATING SUBSIDIARIES</v>
      </c>
      <c r="C3" s="218"/>
      <c r="I3" s="217"/>
      <c r="V3" s="216"/>
      <c r="W3" s="216"/>
      <c r="AH3" s="214"/>
      <c r="AI3" s="214"/>
      <c r="AJ3" s="214"/>
      <c r="AK3" s="214"/>
      <c r="AL3" s="214"/>
      <c r="AM3" s="214"/>
      <c r="AN3" s="214"/>
    </row>
    <row r="4" spans="1:40" ht="15" customHeight="1">
      <c r="G4" s="219"/>
      <c r="I4" s="1446" t="s">
        <v>1378</v>
      </c>
      <c r="J4" s="1446"/>
      <c r="K4" s="1446"/>
      <c r="L4" s="1446"/>
      <c r="M4" s="4"/>
      <c r="V4" s="216"/>
      <c r="W4" s="216"/>
      <c r="AH4" s="214"/>
      <c r="AI4" s="214"/>
      <c r="AJ4" s="214"/>
      <c r="AK4" s="214"/>
      <c r="AL4" s="214"/>
      <c r="AM4" s="214"/>
      <c r="AN4" s="214"/>
    </row>
    <row r="5" spans="1:40" s="220" customFormat="1" ht="30.5">
      <c r="B5" s="221" t="s">
        <v>466</v>
      </c>
      <c r="C5" s="221"/>
      <c r="D5" s="222" t="s">
        <v>458</v>
      </c>
      <c r="E5" s="222" t="s">
        <v>459</v>
      </c>
      <c r="F5" s="222" t="s">
        <v>467</v>
      </c>
      <c r="G5" s="223"/>
      <c r="I5" s="222" t="s">
        <v>458</v>
      </c>
      <c r="J5" s="222" t="s">
        <v>459</v>
      </c>
      <c r="K5" s="222" t="s">
        <v>467</v>
      </c>
      <c r="L5" s="186" t="s">
        <v>1</v>
      </c>
      <c r="M5" s="224" t="s">
        <v>468</v>
      </c>
      <c r="V5" s="225"/>
      <c r="W5" s="225"/>
      <c r="X5" s="225"/>
      <c r="Y5" s="225"/>
      <c r="Z5" s="225"/>
      <c r="AA5" s="225"/>
      <c r="AB5" s="225"/>
      <c r="AC5" s="225"/>
      <c r="AD5" s="225"/>
      <c r="AE5" s="225"/>
      <c r="AF5" s="225"/>
      <c r="AG5" s="225"/>
    </row>
    <row r="6" spans="1:40" ht="4" customHeight="1">
      <c r="B6" s="213"/>
      <c r="C6" s="213"/>
      <c r="D6" s="223"/>
      <c r="E6" s="223"/>
      <c r="F6" s="223"/>
      <c r="G6" s="223"/>
      <c r="I6" s="223"/>
      <c r="J6" s="223"/>
      <c r="K6" s="223"/>
      <c r="L6" s="226"/>
      <c r="M6" s="227"/>
      <c r="V6" s="216"/>
      <c r="W6" s="216"/>
      <c r="AH6" s="214"/>
      <c r="AI6" s="214"/>
      <c r="AJ6" s="214"/>
      <c r="AK6" s="214"/>
      <c r="AL6" s="214"/>
      <c r="AM6" s="214"/>
      <c r="AN6" s="214"/>
    </row>
    <row r="7" spans="1:40">
      <c r="A7" s="228">
        <v>1</v>
      </c>
      <c r="B7" s="213" t="s">
        <v>143</v>
      </c>
      <c r="D7" s="646"/>
      <c r="E7" s="79"/>
      <c r="F7" s="79"/>
      <c r="G7" s="80"/>
      <c r="I7" s="229"/>
      <c r="J7" s="229"/>
      <c r="K7" s="229"/>
      <c r="L7" s="230"/>
      <c r="M7" s="231"/>
      <c r="V7" s="216"/>
      <c r="W7" s="216"/>
      <c r="AH7" s="214"/>
      <c r="AI7" s="214"/>
      <c r="AJ7" s="214"/>
      <c r="AK7" s="214"/>
      <c r="AL7" s="214"/>
      <c r="AM7" s="214"/>
      <c r="AN7" s="214"/>
    </row>
    <row r="8" spans="1:40">
      <c r="A8" s="228"/>
      <c r="B8" s="214" t="s">
        <v>469</v>
      </c>
      <c r="D8" s="79">
        <f>I8/L8</f>
        <v>0.47830663080341479</v>
      </c>
      <c r="E8" s="79">
        <f>J8/L8</f>
        <v>0</v>
      </c>
      <c r="F8" s="79">
        <f>K8/L8</f>
        <v>0.52169336919658515</v>
      </c>
      <c r="G8" s="80"/>
      <c r="I8" s="229">
        <v>4090</v>
      </c>
      <c r="J8" s="229">
        <v>0</v>
      </c>
      <c r="K8" s="229">
        <v>4461</v>
      </c>
      <c r="L8" s="230">
        <f>SUM(I8:K8)</f>
        <v>8551</v>
      </c>
      <c r="M8" s="232">
        <v>0</v>
      </c>
      <c r="V8" s="216"/>
      <c r="W8" s="216"/>
      <c r="AH8" s="214"/>
      <c r="AI8" s="214"/>
      <c r="AJ8" s="214"/>
      <c r="AK8" s="214"/>
      <c r="AL8" s="214"/>
      <c r="AM8" s="214"/>
      <c r="AN8" s="214"/>
    </row>
    <row r="9" spans="1:40">
      <c r="A9" s="228"/>
      <c r="B9" s="214" t="s">
        <v>470</v>
      </c>
      <c r="D9" s="79">
        <f>I9/L9</f>
        <v>0.45107749966537275</v>
      </c>
      <c r="E9" s="79">
        <f>J9/L9</f>
        <v>0</v>
      </c>
      <c r="F9" s="79">
        <f>K9/L9</f>
        <v>0.54892250033462719</v>
      </c>
      <c r="I9" s="229">
        <v>3370</v>
      </c>
      <c r="J9" s="229">
        <v>0</v>
      </c>
      <c r="K9" s="229">
        <v>4101</v>
      </c>
      <c r="L9" s="230">
        <f>SUM(I9:K9)</f>
        <v>7471</v>
      </c>
      <c r="M9" s="232">
        <v>0</v>
      </c>
      <c r="V9" s="216"/>
      <c r="W9" s="216"/>
      <c r="AH9" s="214"/>
      <c r="AI9" s="214"/>
      <c r="AJ9" s="214"/>
      <c r="AK9" s="214"/>
      <c r="AL9" s="214"/>
      <c r="AM9" s="214"/>
      <c r="AN9" s="214"/>
    </row>
    <row r="10" spans="1:40">
      <c r="A10" s="228">
        <f>MAX(A$7:A9)+1</f>
        <v>2</v>
      </c>
      <c r="B10" s="213" t="s">
        <v>153</v>
      </c>
      <c r="D10" s="79"/>
      <c r="E10" s="79"/>
      <c r="F10" s="79"/>
      <c r="G10" s="80"/>
      <c r="I10" s="229"/>
      <c r="J10" s="229"/>
      <c r="K10" s="229"/>
      <c r="L10" s="230"/>
      <c r="M10" s="232"/>
      <c r="V10" s="216"/>
      <c r="W10" s="216"/>
      <c r="AH10" s="214"/>
      <c r="AI10" s="214"/>
      <c r="AJ10" s="214"/>
      <c r="AK10" s="214"/>
      <c r="AL10" s="214"/>
      <c r="AM10" s="214"/>
      <c r="AN10" s="214"/>
    </row>
    <row r="11" spans="1:40">
      <c r="A11" s="228"/>
      <c r="B11" s="214" t="s">
        <v>471</v>
      </c>
      <c r="D11" s="79">
        <f t="shared" ref="D11:D19" si="0">I11/L11</f>
        <v>0.56873443873496843</v>
      </c>
      <c r="E11" s="79">
        <f t="shared" ref="E11:E19" si="1">J11/L11</f>
        <v>0</v>
      </c>
      <c r="F11" s="79">
        <f t="shared" ref="F11:F19" si="2">K11/L11</f>
        <v>0.43126556126503152</v>
      </c>
      <c r="G11" s="80"/>
      <c r="I11" s="229">
        <v>6441.6</v>
      </c>
      <c r="J11" s="229">
        <v>0</v>
      </c>
      <c r="K11" s="229">
        <v>4884.6000000000004</v>
      </c>
      <c r="L11" s="230">
        <f t="shared" ref="L11:L22" si="3">SUM(I11:K11)</f>
        <v>11326.2</v>
      </c>
      <c r="M11" s="232">
        <v>0</v>
      </c>
      <c r="V11" s="216"/>
      <c r="W11" s="216"/>
      <c r="AH11" s="214"/>
      <c r="AI11" s="214"/>
      <c r="AJ11" s="214"/>
      <c r="AK11" s="214"/>
      <c r="AL11" s="214"/>
      <c r="AM11" s="214"/>
      <c r="AN11" s="214"/>
    </row>
    <row r="12" spans="1:40">
      <c r="A12" s="228"/>
      <c r="B12" s="214" t="s">
        <v>170</v>
      </c>
      <c r="D12" s="79">
        <f t="shared" si="0"/>
        <v>0.49615630724998472</v>
      </c>
      <c r="E12" s="79">
        <f t="shared" si="1"/>
        <v>0</v>
      </c>
      <c r="F12" s="79">
        <f t="shared" si="2"/>
        <v>0.50384369275001539</v>
      </c>
      <c r="G12" s="80"/>
      <c r="I12" s="229">
        <v>5660.3</v>
      </c>
      <c r="J12" s="229">
        <v>0</v>
      </c>
      <c r="K12" s="229">
        <v>5748</v>
      </c>
      <c r="L12" s="230">
        <f t="shared" si="3"/>
        <v>11408.3</v>
      </c>
      <c r="M12" s="232">
        <v>0</v>
      </c>
      <c r="V12" s="216"/>
      <c r="W12" s="216"/>
      <c r="AH12" s="214"/>
      <c r="AI12" s="214"/>
      <c r="AJ12" s="214"/>
      <c r="AK12" s="214"/>
      <c r="AL12" s="214"/>
      <c r="AM12" s="214"/>
      <c r="AN12" s="214"/>
    </row>
    <row r="13" spans="1:40">
      <c r="A13" s="233"/>
      <c r="B13" s="214" t="s">
        <v>156</v>
      </c>
      <c r="D13" s="79">
        <f t="shared" si="0"/>
        <v>0.50709641841295638</v>
      </c>
      <c r="E13" s="79">
        <f t="shared" si="1"/>
        <v>0</v>
      </c>
      <c r="F13" s="79">
        <f t="shared" si="2"/>
        <v>0.49290358158704367</v>
      </c>
      <c r="G13" s="80"/>
      <c r="I13" s="229">
        <v>3494.2999999999997</v>
      </c>
      <c r="J13" s="229">
        <v>0</v>
      </c>
      <c r="K13" s="229">
        <v>3396.5</v>
      </c>
      <c r="L13" s="230">
        <f t="shared" si="3"/>
        <v>6890.7999999999993</v>
      </c>
      <c r="M13" s="232">
        <v>0</v>
      </c>
      <c r="V13" s="216"/>
      <c r="W13" s="216"/>
      <c r="AH13" s="214"/>
      <c r="AI13" s="214"/>
      <c r="AJ13" s="214"/>
      <c r="AK13" s="214"/>
      <c r="AL13" s="214"/>
      <c r="AM13" s="214"/>
      <c r="AN13" s="214"/>
    </row>
    <row r="14" spans="1:40">
      <c r="B14" s="214" t="s">
        <v>158</v>
      </c>
      <c r="C14" s="4"/>
      <c r="D14" s="79">
        <f t="shared" si="0"/>
        <v>0.55067095244520148</v>
      </c>
      <c r="E14" s="79">
        <f t="shared" si="1"/>
        <v>0</v>
      </c>
      <c r="F14" s="79">
        <f t="shared" si="2"/>
        <v>0.44932904755479847</v>
      </c>
      <c r="H14" s="234"/>
      <c r="I14" s="229">
        <v>1214.4070630000001</v>
      </c>
      <c r="J14" s="229">
        <v>0</v>
      </c>
      <c r="K14" s="229">
        <v>990.91547600000001</v>
      </c>
      <c r="L14" s="230">
        <f t="shared" si="3"/>
        <v>2205.3225390000002</v>
      </c>
      <c r="M14" s="232" t="s">
        <v>1380</v>
      </c>
    </row>
    <row r="15" spans="1:40">
      <c r="A15" s="228"/>
      <c r="B15" s="214" t="s">
        <v>166</v>
      </c>
      <c r="C15" s="4"/>
      <c r="D15" s="79">
        <f t="shared" si="0"/>
        <v>0.47006410828321588</v>
      </c>
      <c r="E15" s="79">
        <f t="shared" si="1"/>
        <v>0</v>
      </c>
      <c r="F15" s="79">
        <f t="shared" si="2"/>
        <v>0.52993589171678412</v>
      </c>
      <c r="H15" s="234"/>
      <c r="I15" s="229">
        <v>105</v>
      </c>
      <c r="J15" s="229">
        <v>0</v>
      </c>
      <c r="K15" s="229">
        <v>118.37378699999999</v>
      </c>
      <c r="L15" s="230">
        <f t="shared" si="3"/>
        <v>223.37378699999999</v>
      </c>
      <c r="M15" s="232" t="s">
        <v>1380</v>
      </c>
    </row>
    <row r="16" spans="1:40">
      <c r="A16" s="233"/>
      <c r="B16" s="214" t="s">
        <v>162</v>
      </c>
      <c r="C16" s="4"/>
      <c r="D16" s="79">
        <f t="shared" si="0"/>
        <v>0.4889207610726598</v>
      </c>
      <c r="E16" s="79">
        <f t="shared" si="1"/>
        <v>0</v>
      </c>
      <c r="F16" s="79">
        <f t="shared" si="2"/>
        <v>0.5110792389273402</v>
      </c>
      <c r="H16" s="234"/>
      <c r="I16" s="229">
        <v>3715.7</v>
      </c>
      <c r="J16" s="229">
        <v>0</v>
      </c>
      <c r="K16" s="229">
        <v>3884.1</v>
      </c>
      <c r="L16" s="230">
        <f t="shared" si="3"/>
        <v>7599.7999999999993</v>
      </c>
      <c r="M16" s="232">
        <v>0</v>
      </c>
    </row>
    <row r="17" spans="1:13">
      <c r="A17" s="228"/>
      <c r="B17" s="214" t="s">
        <v>164</v>
      </c>
      <c r="C17" s="4"/>
      <c r="D17" s="79">
        <f t="shared" si="0"/>
        <v>0.51533963762361945</v>
      </c>
      <c r="E17" s="79">
        <f t="shared" si="1"/>
        <v>0</v>
      </c>
      <c r="F17" s="79">
        <f t="shared" si="2"/>
        <v>0.48466036237638055</v>
      </c>
      <c r="H17" s="234"/>
      <c r="I17" s="229">
        <v>2855.6</v>
      </c>
      <c r="J17" s="229">
        <v>0</v>
      </c>
      <c r="K17" s="229">
        <v>2685.6</v>
      </c>
      <c r="L17" s="230">
        <f t="shared" si="3"/>
        <v>5541.2</v>
      </c>
      <c r="M17" s="232">
        <v>0</v>
      </c>
    </row>
    <row r="18" spans="1:13">
      <c r="A18" s="228"/>
      <c r="B18" s="214" t="s">
        <v>472</v>
      </c>
      <c r="C18" s="4"/>
      <c r="D18" s="79">
        <f t="shared" si="0"/>
        <v>0.50480610717999441</v>
      </c>
      <c r="E18" s="79">
        <f t="shared" si="1"/>
        <v>0</v>
      </c>
      <c r="F18" s="79">
        <f t="shared" si="2"/>
        <v>0.49519389282000564</v>
      </c>
      <c r="H18" s="234"/>
      <c r="I18" s="229">
        <v>3980.7999999999997</v>
      </c>
      <c r="J18" s="229">
        <v>0</v>
      </c>
      <c r="K18" s="229">
        <v>3905</v>
      </c>
      <c r="L18" s="230">
        <f t="shared" si="3"/>
        <v>7885.7999999999993</v>
      </c>
      <c r="M18" s="232">
        <v>0</v>
      </c>
    </row>
    <row r="19" spans="1:13">
      <c r="A19" s="233"/>
      <c r="B19" s="214" t="s">
        <v>473</v>
      </c>
      <c r="C19" s="4"/>
      <c r="D19" s="79">
        <f t="shared" si="0"/>
        <v>0.55335336444052907</v>
      </c>
      <c r="E19" s="79">
        <f t="shared" si="1"/>
        <v>0</v>
      </c>
      <c r="F19" s="79">
        <f t="shared" si="2"/>
        <v>0.44664663555947098</v>
      </c>
      <c r="H19" s="234"/>
      <c r="I19" s="229">
        <v>687</v>
      </c>
      <c r="J19" s="229">
        <v>0</v>
      </c>
      <c r="K19" s="229">
        <v>554.52132099999994</v>
      </c>
      <c r="L19" s="230">
        <f t="shared" si="3"/>
        <v>1241.5213209999999</v>
      </c>
      <c r="M19" s="232" t="s">
        <v>1380</v>
      </c>
    </row>
    <row r="20" spans="1:13">
      <c r="A20" s="228">
        <f>MAX(A$7:A19)+1</f>
        <v>3</v>
      </c>
      <c r="B20" s="213" t="s">
        <v>1562</v>
      </c>
      <c r="C20" s="4"/>
      <c r="D20" s="79"/>
      <c r="E20" s="79"/>
      <c r="F20" s="79"/>
      <c r="H20" s="234"/>
      <c r="I20" s="229"/>
      <c r="J20" s="229"/>
      <c r="K20" s="229"/>
      <c r="L20" s="230"/>
      <c r="M20" s="232"/>
    </row>
    <row r="21" spans="1:13">
      <c r="A21" s="233"/>
      <c r="B21" s="214" t="s">
        <v>31</v>
      </c>
      <c r="C21" s="4"/>
      <c r="D21" s="79">
        <f t="shared" ref="D21:D22" si="4">I21/L21</f>
        <v>0.50036452966695466</v>
      </c>
      <c r="E21" s="79">
        <f t="shared" ref="E21:E22" si="5">J21/L21</f>
        <v>0</v>
      </c>
      <c r="F21" s="79">
        <f t="shared" ref="F21:F22" si="6">K21/L21</f>
        <v>0.49963547033304534</v>
      </c>
      <c r="H21" s="234"/>
      <c r="I21" s="229">
        <v>2594.5948509999998</v>
      </c>
      <c r="J21" s="229">
        <v>0</v>
      </c>
      <c r="K21" s="229">
        <v>2590.8143799999998</v>
      </c>
      <c r="L21" s="230">
        <f t="shared" si="3"/>
        <v>5185.4092309999996</v>
      </c>
      <c r="M21" s="232" t="s">
        <v>1380</v>
      </c>
    </row>
    <row r="22" spans="1:13">
      <c r="A22" s="233"/>
      <c r="B22" s="214" t="s">
        <v>1584</v>
      </c>
      <c r="C22" s="4"/>
      <c r="D22" s="79">
        <f t="shared" si="4"/>
        <v>0.36985846798606198</v>
      </c>
      <c r="E22" s="79">
        <f t="shared" si="5"/>
        <v>0</v>
      </c>
      <c r="F22" s="79">
        <f t="shared" si="6"/>
        <v>0.63014153201393808</v>
      </c>
      <c r="H22" s="234"/>
      <c r="I22" s="229">
        <v>75</v>
      </c>
      <c r="J22" s="229">
        <v>0</v>
      </c>
      <c r="K22" s="229">
        <v>127.78027</v>
      </c>
      <c r="L22" s="230">
        <f t="shared" si="3"/>
        <v>202.78027</v>
      </c>
      <c r="M22" s="232" t="s">
        <v>1380</v>
      </c>
    </row>
    <row r="23" spans="1:13">
      <c r="A23" s="228">
        <f>MAX(A$7:A22)+1</f>
        <v>4</v>
      </c>
      <c r="B23" s="213" t="s">
        <v>1381</v>
      </c>
      <c r="C23" s="4"/>
      <c r="D23" s="79"/>
      <c r="E23" s="79"/>
      <c r="F23" s="79"/>
      <c r="H23" s="234"/>
      <c r="I23" s="229"/>
      <c r="J23" s="229"/>
      <c r="K23" s="229"/>
      <c r="L23" s="230"/>
      <c r="M23" s="232"/>
    </row>
    <row r="24" spans="1:13">
      <c r="A24" s="228"/>
      <c r="B24" s="214" t="s">
        <v>1382</v>
      </c>
      <c r="C24" s="4"/>
      <c r="D24" s="79">
        <f t="shared" ref="D24:D26" si="7">I24/L24</f>
        <v>0.47243341894234758</v>
      </c>
      <c r="E24" s="79">
        <f t="shared" ref="E24:E26" si="8">J24/L24</f>
        <v>0</v>
      </c>
      <c r="F24" s="79">
        <f t="shared" ref="F24:F26" si="9">K24/L24</f>
        <v>0.52756658105765242</v>
      </c>
      <c r="H24" s="234"/>
      <c r="I24" s="229">
        <v>541.13076599999999</v>
      </c>
      <c r="J24" s="229">
        <v>0</v>
      </c>
      <c r="K24" s="229">
        <v>604.280935</v>
      </c>
      <c r="L24" s="230">
        <f t="shared" ref="L24:L26" si="10">SUM(I24:K24)</f>
        <v>1145.411701</v>
      </c>
      <c r="M24" s="232" t="s">
        <v>1380</v>
      </c>
    </row>
    <row r="25" spans="1:13">
      <c r="A25" s="228"/>
      <c r="B25" s="214" t="s">
        <v>1383</v>
      </c>
      <c r="C25" s="4"/>
      <c r="D25" s="79">
        <f t="shared" si="7"/>
        <v>0.53776621108632783</v>
      </c>
      <c r="E25" s="79">
        <f t="shared" si="8"/>
        <v>0</v>
      </c>
      <c r="F25" s="79">
        <f t="shared" si="9"/>
        <v>0.46223378891367212</v>
      </c>
      <c r="H25" s="234"/>
      <c r="I25" s="229">
        <v>400.270983</v>
      </c>
      <c r="J25" s="229">
        <v>0</v>
      </c>
      <c r="K25" s="229">
        <v>344.05057299999999</v>
      </c>
      <c r="L25" s="230">
        <f t="shared" si="10"/>
        <v>744.32155599999999</v>
      </c>
      <c r="M25" s="232" t="s">
        <v>1380</v>
      </c>
    </row>
    <row r="26" spans="1:13">
      <c r="A26" s="228"/>
      <c r="B26" s="214" t="s">
        <v>1384</v>
      </c>
      <c r="D26" s="79">
        <f t="shared" si="7"/>
        <v>0.50028146699161657</v>
      </c>
      <c r="E26" s="79">
        <f t="shared" si="8"/>
        <v>0</v>
      </c>
      <c r="F26" s="79">
        <f t="shared" si="9"/>
        <v>0.49971853300838337</v>
      </c>
      <c r="H26" s="234"/>
      <c r="I26" s="229">
        <v>472.24821500000002</v>
      </c>
      <c r="J26" s="229">
        <v>0</v>
      </c>
      <c r="K26" s="229">
        <v>471.71682499999997</v>
      </c>
      <c r="L26" s="230">
        <f t="shared" si="10"/>
        <v>943.96504000000004</v>
      </c>
      <c r="M26" s="232" t="s">
        <v>1380</v>
      </c>
    </row>
    <row r="27" spans="1:13">
      <c r="A27" s="228">
        <f>MAX(A$7:A26)+1</f>
        <v>5</v>
      </c>
      <c r="B27" s="213" t="s">
        <v>1566</v>
      </c>
      <c r="D27" s="79"/>
      <c r="E27" s="79"/>
      <c r="F27" s="79"/>
      <c r="H27" s="234"/>
      <c r="I27" s="229"/>
      <c r="J27" s="229"/>
      <c r="K27" s="229"/>
      <c r="L27" s="230"/>
      <c r="M27" s="232"/>
    </row>
    <row r="28" spans="1:13">
      <c r="A28" s="228"/>
      <c r="B28" s="214" t="s">
        <v>1585</v>
      </c>
      <c r="D28" s="79">
        <f t="shared" ref="D28" si="11">I28/L28</f>
        <v>0.5375621729862412</v>
      </c>
      <c r="E28" s="79">
        <f t="shared" ref="E28" si="12">J28/L28</f>
        <v>0</v>
      </c>
      <c r="F28" s="79">
        <f t="shared" ref="F28" si="13">K28/L28</f>
        <v>0.4624378270137588</v>
      </c>
      <c r="H28" s="234"/>
      <c r="I28" s="229">
        <v>8322</v>
      </c>
      <c r="J28" s="229">
        <v>0</v>
      </c>
      <c r="K28" s="229">
        <v>7159</v>
      </c>
      <c r="L28" s="230">
        <f t="shared" ref="L28" si="14">SUM(I28:K28)</f>
        <v>15481</v>
      </c>
      <c r="M28" s="232">
        <v>0</v>
      </c>
    </row>
    <row r="29" spans="1:13">
      <c r="A29" s="228">
        <f>MAX(A$7:A28)+1</f>
        <v>6</v>
      </c>
      <c r="B29" s="213" t="s">
        <v>174</v>
      </c>
      <c r="D29" s="79"/>
      <c r="E29" s="79"/>
      <c r="F29" s="79"/>
      <c r="H29" s="234"/>
      <c r="I29" s="229"/>
      <c r="J29" s="229"/>
      <c r="K29" s="229"/>
      <c r="L29" s="230"/>
      <c r="M29" s="232"/>
    </row>
    <row r="30" spans="1:13">
      <c r="A30" s="228"/>
      <c r="B30" s="214" t="s">
        <v>175</v>
      </c>
      <c r="D30" s="79">
        <f>I30/L30</f>
        <v>0.51557401364580246</v>
      </c>
      <c r="E30" s="79">
        <f>J30/L30</f>
        <v>1.5679959316862314E-3</v>
      </c>
      <c r="F30" s="79">
        <f>K30/L30</f>
        <v>0.48285799042251132</v>
      </c>
      <c r="H30" s="234"/>
      <c r="I30" s="229">
        <v>12166</v>
      </c>
      <c r="J30" s="229">
        <v>37</v>
      </c>
      <c r="K30" s="229">
        <v>11394</v>
      </c>
      <c r="L30" s="230">
        <f>SUM(I30:K30)</f>
        <v>23597</v>
      </c>
      <c r="M30" s="232">
        <v>0</v>
      </c>
    </row>
    <row r="31" spans="1:13">
      <c r="A31" s="228">
        <f>MAX(A$7:A30)+1</f>
        <v>7</v>
      </c>
      <c r="B31" s="213" t="s">
        <v>1385</v>
      </c>
      <c r="D31" s="79"/>
      <c r="E31" s="79"/>
      <c r="F31" s="79"/>
      <c r="H31" s="234"/>
      <c r="I31" s="229"/>
      <c r="J31" s="229"/>
      <c r="K31" s="229"/>
      <c r="L31" s="230"/>
      <c r="M31" s="232"/>
    </row>
    <row r="32" spans="1:13">
      <c r="A32" s="233"/>
      <c r="B32" s="214" t="s">
        <v>1386</v>
      </c>
      <c r="D32" s="79">
        <f t="shared" ref="D32:D33" si="15">I32/L32</f>
        <v>0.45007542797175276</v>
      </c>
      <c r="E32" s="79">
        <f t="shared" ref="E32:E33" si="16">J32/L32</f>
        <v>0</v>
      </c>
      <c r="F32" s="79">
        <f t="shared" ref="F32:F33" si="17">K32/L32</f>
        <v>0.54992457202824718</v>
      </c>
      <c r="H32" s="234"/>
      <c r="I32" s="229">
        <v>20586</v>
      </c>
      <c r="J32" s="229">
        <v>0</v>
      </c>
      <c r="K32" s="229">
        <v>25153</v>
      </c>
      <c r="L32" s="230">
        <f>SUM(I32:K32)</f>
        <v>45739</v>
      </c>
      <c r="M32" s="232">
        <v>0</v>
      </c>
    </row>
    <row r="33" spans="1:13">
      <c r="A33" s="233"/>
      <c r="B33" s="214" t="s">
        <v>1387</v>
      </c>
      <c r="D33" s="79">
        <f t="shared" si="15"/>
        <v>0.46860371976052578</v>
      </c>
      <c r="E33" s="79">
        <f t="shared" si="16"/>
        <v>1.1124455313044207E-5</v>
      </c>
      <c r="F33" s="79">
        <f t="shared" si="17"/>
        <v>0.53138515578416112</v>
      </c>
      <c r="H33" s="234"/>
      <c r="I33" s="229">
        <v>4212.3745079999999</v>
      </c>
      <c r="J33" s="229">
        <v>0.1</v>
      </c>
      <c r="K33" s="229">
        <v>4776.7296539999998</v>
      </c>
      <c r="L33" s="230">
        <f>SUM(I33:K33)</f>
        <v>8989.204162</v>
      </c>
      <c r="M33" s="232" t="s">
        <v>1380</v>
      </c>
    </row>
    <row r="34" spans="1:13">
      <c r="A34" s="228">
        <f>MAX(A$7:A33)+1</f>
        <v>8</v>
      </c>
      <c r="B34" s="213" t="s">
        <v>179</v>
      </c>
      <c r="D34" s="79"/>
      <c r="E34" s="79"/>
      <c r="F34" s="79"/>
      <c r="H34" s="234"/>
      <c r="I34" s="229"/>
      <c r="J34" s="229"/>
      <c r="K34" s="229"/>
      <c r="L34" s="230"/>
      <c r="M34" s="232"/>
    </row>
    <row r="35" spans="1:13">
      <c r="A35" s="228"/>
      <c r="B35" s="214" t="s">
        <v>180</v>
      </c>
      <c r="D35" s="79">
        <f>I35/L35</f>
        <v>0.5094016361845205</v>
      </c>
      <c r="E35" s="79">
        <f>J35/L35</f>
        <v>0</v>
      </c>
      <c r="F35" s="79">
        <f>K35/L35</f>
        <v>0.4905983638154795</v>
      </c>
      <c r="H35" s="234"/>
      <c r="I35" s="229">
        <v>11893</v>
      </c>
      <c r="J35" s="229">
        <v>0</v>
      </c>
      <c r="K35" s="229">
        <v>11454</v>
      </c>
      <c r="L35" s="230">
        <f>SUM(I35:K35)</f>
        <v>23347</v>
      </c>
      <c r="M35" s="232">
        <v>0</v>
      </c>
    </row>
    <row r="36" spans="1:13">
      <c r="A36" s="228">
        <f>MAX(A$7:A35)+1</f>
        <v>9</v>
      </c>
      <c r="B36" s="213" t="s">
        <v>181</v>
      </c>
      <c r="D36" s="79"/>
      <c r="E36" s="79"/>
      <c r="F36" s="79"/>
      <c r="H36" s="234"/>
      <c r="I36" s="229"/>
      <c r="J36" s="229"/>
      <c r="K36" s="229"/>
      <c r="L36" s="230"/>
      <c r="M36" s="232"/>
    </row>
    <row r="37" spans="1:13">
      <c r="A37" s="228"/>
      <c r="B37" s="214" t="s">
        <v>474</v>
      </c>
      <c r="D37" s="79">
        <f t="shared" ref="D37:D42" si="18">I37/L37</f>
        <v>0.4950467025191056</v>
      </c>
      <c r="E37" s="79">
        <f t="shared" ref="E37:E42" si="19">J37/L37</f>
        <v>0</v>
      </c>
      <c r="F37" s="79">
        <f t="shared" ref="F37:F42" si="20">K37/L37</f>
        <v>0.50495329748089446</v>
      </c>
      <c r="H37" s="234"/>
      <c r="I37" s="229">
        <v>17490</v>
      </c>
      <c r="J37" s="229">
        <v>0</v>
      </c>
      <c r="K37" s="229">
        <v>17840</v>
      </c>
      <c r="L37" s="230">
        <f t="shared" ref="L37:L42" si="21">SUM(I37:K37)</f>
        <v>35330</v>
      </c>
      <c r="M37" s="232">
        <v>0</v>
      </c>
    </row>
    <row r="38" spans="1:13">
      <c r="A38" s="228"/>
      <c r="B38" s="214" t="s">
        <v>475</v>
      </c>
      <c r="D38" s="79">
        <f t="shared" si="18"/>
        <v>0.48516104833794366</v>
      </c>
      <c r="E38" s="79">
        <f t="shared" si="19"/>
        <v>0</v>
      </c>
      <c r="F38" s="79">
        <f t="shared" si="20"/>
        <v>0.5148389516620564</v>
      </c>
      <c r="H38" s="234"/>
      <c r="I38" s="229">
        <v>10348</v>
      </c>
      <c r="J38" s="229">
        <v>0</v>
      </c>
      <c r="K38" s="229">
        <v>10981</v>
      </c>
      <c r="L38" s="230">
        <f t="shared" si="21"/>
        <v>21329</v>
      </c>
      <c r="M38" s="232">
        <v>0</v>
      </c>
    </row>
    <row r="39" spans="1:13">
      <c r="A39" s="228"/>
      <c r="B39" s="214" t="s">
        <v>476</v>
      </c>
      <c r="D39" s="79">
        <f t="shared" si="18"/>
        <v>0.46474234792716002</v>
      </c>
      <c r="E39" s="79">
        <f t="shared" si="19"/>
        <v>0</v>
      </c>
      <c r="F39" s="79">
        <f t="shared" si="20"/>
        <v>0.53525765207284004</v>
      </c>
      <c r="H39" s="234"/>
      <c r="I39" s="229">
        <v>4798</v>
      </c>
      <c r="J39" s="229">
        <v>0</v>
      </c>
      <c r="K39" s="229">
        <v>5526</v>
      </c>
      <c r="L39" s="230">
        <f t="shared" si="21"/>
        <v>10324</v>
      </c>
      <c r="M39" s="232">
        <v>0</v>
      </c>
    </row>
    <row r="40" spans="1:13">
      <c r="A40" s="228"/>
      <c r="B40" s="214" t="s">
        <v>477</v>
      </c>
      <c r="D40" s="79">
        <f t="shared" si="18"/>
        <v>0.43277223607647547</v>
      </c>
      <c r="E40" s="79">
        <f t="shared" si="19"/>
        <v>0</v>
      </c>
      <c r="F40" s="79">
        <f t="shared" si="20"/>
        <v>0.56722776392352448</v>
      </c>
      <c r="H40" s="234"/>
      <c r="I40" s="229">
        <v>4165</v>
      </c>
      <c r="J40" s="229">
        <v>0</v>
      </c>
      <c r="K40" s="229">
        <v>5459</v>
      </c>
      <c r="L40" s="230">
        <f t="shared" si="21"/>
        <v>9624</v>
      </c>
      <c r="M40" s="232">
        <v>0</v>
      </c>
    </row>
    <row r="41" spans="1:13">
      <c r="A41" s="233"/>
      <c r="B41" s="214" t="s">
        <v>478</v>
      </c>
      <c r="D41" s="79">
        <f t="shared" si="18"/>
        <v>0.5108886618998979</v>
      </c>
      <c r="E41" s="79">
        <f t="shared" si="19"/>
        <v>0</v>
      </c>
      <c r="F41" s="79">
        <f t="shared" si="20"/>
        <v>0.48911133810010216</v>
      </c>
      <c r="H41" s="234"/>
      <c r="I41" s="229">
        <v>12504</v>
      </c>
      <c r="J41" s="229">
        <v>0</v>
      </c>
      <c r="K41" s="229">
        <v>11971</v>
      </c>
      <c r="L41" s="230">
        <f t="shared" si="21"/>
        <v>24475</v>
      </c>
      <c r="M41" s="232">
        <v>0</v>
      </c>
    </row>
    <row r="42" spans="1:13">
      <c r="A42" s="228"/>
      <c r="B42" s="214" t="s">
        <v>479</v>
      </c>
      <c r="D42" s="79">
        <f t="shared" si="18"/>
        <v>0.45686008524721733</v>
      </c>
      <c r="E42" s="79">
        <f t="shared" si="19"/>
        <v>0</v>
      </c>
      <c r="F42" s="79">
        <f t="shared" si="20"/>
        <v>0.54313991475278267</v>
      </c>
      <c r="H42" s="234"/>
      <c r="I42" s="229">
        <v>931.58275200000003</v>
      </c>
      <c r="J42" s="229">
        <v>0</v>
      </c>
      <c r="K42" s="229">
        <v>1107.5158300000001</v>
      </c>
      <c r="L42" s="230">
        <f t="shared" si="21"/>
        <v>2039.0985820000001</v>
      </c>
      <c r="M42" s="232" t="s">
        <v>1380</v>
      </c>
    </row>
    <row r="43" spans="1:13">
      <c r="A43" s="228">
        <f>MAX(A$7:A42)+1</f>
        <v>10</v>
      </c>
      <c r="B43" s="213" t="s">
        <v>1569</v>
      </c>
      <c r="D43" s="79"/>
      <c r="E43" s="79"/>
      <c r="F43" s="79"/>
      <c r="H43" s="234"/>
      <c r="I43" s="229"/>
      <c r="J43" s="229"/>
      <c r="K43" s="229"/>
      <c r="L43" s="230"/>
      <c r="M43" s="232"/>
    </row>
    <row r="44" spans="1:13">
      <c r="A44" s="228"/>
      <c r="B44" s="214" t="s">
        <v>1570</v>
      </c>
      <c r="D44" s="79">
        <f t="shared" ref="D44" si="22">I44/L44</f>
        <v>0.58384035510657029</v>
      </c>
      <c r="E44" s="79">
        <f t="shared" ref="E44" si="23">J44/L44</f>
        <v>4.2475031569280224E-2</v>
      </c>
      <c r="F44" s="79">
        <f t="shared" ref="F44" si="24">K44/L44</f>
        <v>0.37368461332414954</v>
      </c>
      <c r="H44" s="234"/>
      <c r="I44" s="229">
        <v>30515</v>
      </c>
      <c r="J44" s="229">
        <v>2220</v>
      </c>
      <c r="K44" s="229">
        <v>19531</v>
      </c>
      <c r="L44" s="230">
        <f t="shared" ref="L44" si="25">SUM(I44:K44)</f>
        <v>52266</v>
      </c>
      <c r="M44" s="232">
        <v>0</v>
      </c>
    </row>
    <row r="45" spans="1:13">
      <c r="A45" s="228">
        <f>MAX(A$7:A44)+1</f>
        <v>11</v>
      </c>
      <c r="B45" s="213" t="s">
        <v>191</v>
      </c>
      <c r="D45" s="79"/>
      <c r="E45" s="79"/>
      <c r="F45" s="79"/>
      <c r="H45" s="234"/>
      <c r="I45" s="229"/>
      <c r="J45" s="229"/>
      <c r="K45" s="229"/>
      <c r="L45" s="230"/>
      <c r="M45" s="232"/>
    </row>
    <row r="46" spans="1:13">
      <c r="A46" s="228"/>
      <c r="B46" s="214" t="s">
        <v>480</v>
      </c>
      <c r="D46" s="79">
        <f t="shared" ref="D46:D50" si="26">I46/L46</f>
        <v>0.53434460275852524</v>
      </c>
      <c r="E46" s="79">
        <f t="shared" ref="E46:E50" si="27">J46/L46</f>
        <v>0</v>
      </c>
      <c r="F46" s="79">
        <f t="shared" ref="F46:F50" si="28">K46/L46</f>
        <v>0.4656553972414747</v>
      </c>
      <c r="H46" s="234"/>
      <c r="I46" s="229">
        <v>5122.4939999999997</v>
      </c>
      <c r="J46" s="229">
        <v>0</v>
      </c>
      <c r="K46" s="229">
        <v>4464.0050000000001</v>
      </c>
      <c r="L46" s="230">
        <f t="shared" ref="L46:L50" si="29">SUM(I46:K46)</f>
        <v>9586.4989999999998</v>
      </c>
      <c r="M46" s="232">
        <v>0</v>
      </c>
    </row>
    <row r="47" spans="1:13">
      <c r="A47" s="228"/>
      <c r="B47" s="214" t="s">
        <v>194</v>
      </c>
      <c r="D47" s="79">
        <f t="shared" si="26"/>
        <v>0.45963492612241197</v>
      </c>
      <c r="E47" s="79">
        <f t="shared" si="27"/>
        <v>0</v>
      </c>
      <c r="F47" s="79">
        <f t="shared" si="28"/>
        <v>0.54036507387758792</v>
      </c>
      <c r="H47" s="234"/>
      <c r="I47" s="229">
        <v>9866.4529999999995</v>
      </c>
      <c r="J47" s="229">
        <v>0</v>
      </c>
      <c r="K47" s="229">
        <v>11599.394</v>
      </c>
      <c r="L47" s="230">
        <f t="shared" si="29"/>
        <v>21465.847000000002</v>
      </c>
      <c r="M47" s="232">
        <v>0</v>
      </c>
    </row>
    <row r="48" spans="1:13">
      <c r="A48" s="233"/>
      <c r="B48" s="214" t="s">
        <v>481</v>
      </c>
      <c r="D48" s="79">
        <f t="shared" si="26"/>
        <v>0.50186980685313942</v>
      </c>
      <c r="E48" s="79">
        <f t="shared" si="27"/>
        <v>0</v>
      </c>
      <c r="F48" s="79">
        <f t="shared" si="28"/>
        <v>0.49813019314686063</v>
      </c>
      <c r="H48" s="234"/>
      <c r="I48" s="229">
        <v>2427.0729999999999</v>
      </c>
      <c r="J48" s="229">
        <v>0</v>
      </c>
      <c r="K48" s="229">
        <v>2408.9879999999998</v>
      </c>
      <c r="L48" s="230">
        <f t="shared" si="29"/>
        <v>4836.0609999999997</v>
      </c>
      <c r="M48" s="232">
        <v>0</v>
      </c>
    </row>
    <row r="49" spans="1:13">
      <c r="A49" s="228"/>
      <c r="B49" s="214" t="s">
        <v>482</v>
      </c>
      <c r="D49" s="79">
        <f t="shared" si="26"/>
        <v>0.51282396880290071</v>
      </c>
      <c r="E49" s="79">
        <f t="shared" si="27"/>
        <v>0</v>
      </c>
      <c r="F49" s="79">
        <f t="shared" si="28"/>
        <v>0.48717603119709935</v>
      </c>
      <c r="H49" s="234"/>
      <c r="I49" s="229">
        <v>734.327</v>
      </c>
      <c r="J49" s="229">
        <v>0</v>
      </c>
      <c r="K49" s="229">
        <v>697.601</v>
      </c>
      <c r="L49" s="230">
        <f t="shared" si="29"/>
        <v>1431.9279999999999</v>
      </c>
      <c r="M49" s="232">
        <v>0</v>
      </c>
    </row>
    <row r="50" spans="1:13">
      <c r="A50" s="228"/>
      <c r="B50" s="214" t="s">
        <v>197</v>
      </c>
      <c r="D50" s="79">
        <f t="shared" si="26"/>
        <v>0.51532068256969632</v>
      </c>
      <c r="E50" s="79">
        <f t="shared" si="27"/>
        <v>5.621111007150778E-3</v>
      </c>
      <c r="F50" s="79">
        <f t="shared" si="28"/>
        <v>0.47905820642315283</v>
      </c>
      <c r="H50" s="234"/>
      <c r="I50" s="229">
        <v>3552.4430000000002</v>
      </c>
      <c r="J50" s="229">
        <v>38.75</v>
      </c>
      <c r="K50" s="229">
        <v>3302.462</v>
      </c>
      <c r="L50" s="230">
        <f t="shared" si="29"/>
        <v>6893.6550000000007</v>
      </c>
      <c r="M50" s="232">
        <v>0</v>
      </c>
    </row>
    <row r="51" spans="1:13">
      <c r="A51" s="228">
        <f>MAX(A$7:A50)+1</f>
        <v>12</v>
      </c>
      <c r="B51" s="213" t="s">
        <v>198</v>
      </c>
      <c r="D51" s="79"/>
      <c r="E51" s="79"/>
      <c r="F51" s="79"/>
      <c r="H51" s="234"/>
      <c r="I51" s="229"/>
      <c r="J51" s="229"/>
      <c r="K51" s="229"/>
      <c r="L51" s="230"/>
      <c r="M51" s="232"/>
    </row>
    <row r="52" spans="1:13">
      <c r="A52" s="233"/>
      <c r="B52" s="214" t="s">
        <v>483</v>
      </c>
      <c r="D52" s="79">
        <f t="shared" ref="D52:D53" si="30">I52/L52</f>
        <v>0.48842354082065581</v>
      </c>
      <c r="E52" s="79">
        <f t="shared" ref="E52:E53" si="31">J52/L52</f>
        <v>0</v>
      </c>
      <c r="F52" s="79">
        <f t="shared" ref="F52:F53" si="32">K52/L52</f>
        <v>0.51157645917934413</v>
      </c>
      <c r="H52" s="234"/>
      <c r="I52" s="229">
        <v>3223.4</v>
      </c>
      <c r="J52" s="229">
        <v>0</v>
      </c>
      <c r="K52" s="229">
        <v>3376.2</v>
      </c>
      <c r="L52" s="230">
        <f t="shared" ref="L52:L53" si="33">SUM(I52:K52)</f>
        <v>6599.6</v>
      </c>
      <c r="M52" s="232">
        <v>0</v>
      </c>
    </row>
    <row r="53" spans="1:13">
      <c r="A53" s="228"/>
      <c r="B53" s="214" t="s">
        <v>484</v>
      </c>
      <c r="D53" s="79">
        <f t="shared" si="30"/>
        <v>0.46446232418629163</v>
      </c>
      <c r="E53" s="79">
        <f t="shared" si="31"/>
        <v>0</v>
      </c>
      <c r="F53" s="79">
        <f t="shared" si="32"/>
        <v>0.53553767581370837</v>
      </c>
      <c r="H53" s="234"/>
      <c r="I53" s="229">
        <v>4583.5</v>
      </c>
      <c r="J53" s="229">
        <v>0</v>
      </c>
      <c r="K53" s="229">
        <v>5284.9</v>
      </c>
      <c r="L53" s="230">
        <f t="shared" si="33"/>
        <v>9868.4</v>
      </c>
      <c r="M53" s="232">
        <v>0</v>
      </c>
    </row>
    <row r="54" spans="1:13">
      <c r="A54" s="228">
        <f>MAX(A$7:A53)+1</f>
        <v>13</v>
      </c>
      <c r="B54" s="213" t="s">
        <v>204</v>
      </c>
      <c r="D54" s="79"/>
      <c r="E54" s="79"/>
      <c r="F54" s="79"/>
      <c r="H54" s="234"/>
      <c r="I54" s="229"/>
      <c r="J54" s="229"/>
      <c r="K54" s="229"/>
      <c r="L54" s="230"/>
      <c r="M54" s="232"/>
    </row>
    <row r="55" spans="1:13">
      <c r="A55" s="233"/>
      <c r="B55" s="214" t="s">
        <v>485</v>
      </c>
      <c r="D55" s="79">
        <f t="shared" ref="D55:D57" si="34">I55/L55</f>
        <v>0.43346881008453847</v>
      </c>
      <c r="E55" s="79">
        <f t="shared" ref="E55:E57" si="35">J55/L55</f>
        <v>9.8548078104694868E-3</v>
      </c>
      <c r="F55" s="79">
        <f t="shared" ref="F55:F57" si="36">K55/L55</f>
        <v>0.55667638210499193</v>
      </c>
      <c r="H55" s="234"/>
      <c r="I55" s="229">
        <v>5111.1170000000002</v>
      </c>
      <c r="J55" s="229">
        <v>116.2</v>
      </c>
      <c r="K55" s="229">
        <v>6563.8819999999996</v>
      </c>
      <c r="L55" s="230">
        <f t="shared" ref="L55:L57" si="37">SUM(I55:K55)</f>
        <v>11791.199000000001</v>
      </c>
      <c r="M55" s="232">
        <v>0</v>
      </c>
    </row>
    <row r="56" spans="1:13">
      <c r="A56" s="233"/>
      <c r="B56" s="214" t="s">
        <v>207</v>
      </c>
      <c r="D56" s="79">
        <f t="shared" si="34"/>
        <v>0.42268423888181966</v>
      </c>
      <c r="E56" s="79">
        <f t="shared" si="35"/>
        <v>3.5673616606184681E-3</v>
      </c>
      <c r="F56" s="79">
        <f t="shared" si="36"/>
        <v>0.57374839945756195</v>
      </c>
      <c r="H56" s="234"/>
      <c r="I56" s="229">
        <v>5094.92</v>
      </c>
      <c r="J56" s="229">
        <v>43</v>
      </c>
      <c r="K56" s="229">
        <v>6915.8059999999996</v>
      </c>
      <c r="L56" s="230">
        <f t="shared" si="37"/>
        <v>12053.725999999999</v>
      </c>
      <c r="M56" s="232">
        <v>0</v>
      </c>
    </row>
    <row r="57" spans="1:13">
      <c r="A57" s="228"/>
      <c r="B57" s="214" t="s">
        <v>209</v>
      </c>
      <c r="D57" s="79">
        <f t="shared" si="34"/>
        <v>0.43169512947885125</v>
      </c>
      <c r="E57" s="79">
        <f t="shared" si="35"/>
        <v>0</v>
      </c>
      <c r="F57" s="79">
        <f t="shared" si="36"/>
        <v>0.56830487052114864</v>
      </c>
      <c r="H57" s="234"/>
      <c r="I57" s="229">
        <v>2056.1379999999999</v>
      </c>
      <c r="J57" s="229">
        <v>0</v>
      </c>
      <c r="K57" s="229">
        <v>2706.8020000000001</v>
      </c>
      <c r="L57" s="230">
        <f t="shared" si="37"/>
        <v>4762.9400000000005</v>
      </c>
      <c r="M57" s="232">
        <v>0</v>
      </c>
    </row>
    <row r="58" spans="1:13">
      <c r="A58" s="228">
        <f>MAX(A$7:A57)+1</f>
        <v>14</v>
      </c>
      <c r="B58" s="213" t="s">
        <v>1571</v>
      </c>
      <c r="D58" s="79"/>
      <c r="E58" s="79"/>
      <c r="F58" s="79"/>
      <c r="H58" s="234"/>
      <c r="I58" s="229"/>
      <c r="J58" s="229"/>
      <c r="K58" s="229"/>
      <c r="L58" s="230"/>
      <c r="M58" s="232"/>
    </row>
    <row r="59" spans="1:13">
      <c r="A59" s="228"/>
      <c r="B59" s="214" t="s">
        <v>1586</v>
      </c>
      <c r="D59" s="79">
        <f t="shared" ref="D59:D63" si="38">I59/L59</f>
        <v>0.38667239850081275</v>
      </c>
      <c r="E59" s="79">
        <f t="shared" ref="E59:E63" si="39">J59/L59</f>
        <v>0</v>
      </c>
      <c r="F59" s="79">
        <f t="shared" ref="F59:F63" si="40">K59/L59</f>
        <v>0.6133276014991873</v>
      </c>
      <c r="H59" s="234"/>
      <c r="I59" s="229">
        <v>2393.0011380000001</v>
      </c>
      <c r="J59" s="229">
        <v>0</v>
      </c>
      <c r="K59" s="229">
        <v>3795.7031689999999</v>
      </c>
      <c r="L59" s="230">
        <f t="shared" ref="L59:L63" si="41">SUM(I59:K59)</f>
        <v>6188.704307</v>
      </c>
      <c r="M59" s="232" t="s">
        <v>1380</v>
      </c>
    </row>
    <row r="60" spans="1:13">
      <c r="A60" s="228"/>
      <c r="B60" s="214" t="s">
        <v>1573</v>
      </c>
      <c r="D60" s="79">
        <f t="shared" si="38"/>
        <v>0.32032335511801974</v>
      </c>
      <c r="E60" s="79">
        <f t="shared" si="39"/>
        <v>0</v>
      </c>
      <c r="F60" s="79">
        <f t="shared" si="40"/>
        <v>0.67967664488198021</v>
      </c>
      <c r="H60" s="234"/>
      <c r="I60" s="229">
        <v>2345.4501890000001</v>
      </c>
      <c r="J60" s="229">
        <v>0</v>
      </c>
      <c r="K60" s="229">
        <v>4976.6827480000002</v>
      </c>
      <c r="L60" s="230">
        <f t="shared" si="41"/>
        <v>7322.1329370000003</v>
      </c>
      <c r="M60" s="232" t="s">
        <v>1380</v>
      </c>
    </row>
    <row r="61" spans="1:13">
      <c r="A61" s="228"/>
      <c r="B61" s="214" t="s">
        <v>1576</v>
      </c>
      <c r="D61" s="79">
        <f t="shared" si="38"/>
        <v>0.46416200349764436</v>
      </c>
      <c r="E61" s="79">
        <f t="shared" si="39"/>
        <v>0</v>
      </c>
      <c r="F61" s="79">
        <f t="shared" si="40"/>
        <v>0.53583799650235564</v>
      </c>
      <c r="H61" s="234"/>
      <c r="I61" s="229">
        <v>1655.0244540000001</v>
      </c>
      <c r="J61" s="229">
        <v>0</v>
      </c>
      <c r="K61" s="229">
        <v>1910.593674</v>
      </c>
      <c r="L61" s="230">
        <f t="shared" si="41"/>
        <v>3565.6181280000001</v>
      </c>
      <c r="M61" s="232" t="s">
        <v>1380</v>
      </c>
    </row>
    <row r="62" spans="1:13">
      <c r="A62" s="228"/>
      <c r="B62" s="214" t="s">
        <v>1587</v>
      </c>
      <c r="D62" s="79">
        <f t="shared" si="38"/>
        <v>0.48280103760111126</v>
      </c>
      <c r="E62" s="79">
        <f t="shared" si="39"/>
        <v>0</v>
      </c>
      <c r="F62" s="79">
        <f t="shared" si="40"/>
        <v>0.51719896239888863</v>
      </c>
      <c r="H62" s="234"/>
      <c r="I62" s="229">
        <v>825</v>
      </c>
      <c r="J62" s="229">
        <v>0</v>
      </c>
      <c r="K62" s="229">
        <v>883.77843199999995</v>
      </c>
      <c r="L62" s="230">
        <f t="shared" si="41"/>
        <v>1708.7784320000001</v>
      </c>
      <c r="M62" s="232" t="s">
        <v>1380</v>
      </c>
    </row>
    <row r="63" spans="1:13">
      <c r="A63" s="228"/>
      <c r="B63" s="214" t="s">
        <v>1575</v>
      </c>
      <c r="D63" s="79">
        <f t="shared" si="38"/>
        <v>0.47287189574777327</v>
      </c>
      <c r="E63" s="79">
        <f t="shared" si="39"/>
        <v>0</v>
      </c>
      <c r="F63" s="79">
        <f t="shared" si="40"/>
        <v>0.52712810425222667</v>
      </c>
      <c r="H63" s="234"/>
      <c r="I63" s="229">
        <v>3748.401265</v>
      </c>
      <c r="J63" s="229">
        <v>0</v>
      </c>
      <c r="K63" s="229">
        <v>4178.4840050000003</v>
      </c>
      <c r="L63" s="230">
        <f t="shared" si="41"/>
        <v>7926.8852700000007</v>
      </c>
      <c r="M63" s="232" t="s">
        <v>1380</v>
      </c>
    </row>
    <row r="64" spans="1:13">
      <c r="A64" s="228">
        <f>MAX(A$7:A63)+1</f>
        <v>15</v>
      </c>
      <c r="B64" s="213" t="s">
        <v>220</v>
      </c>
      <c r="D64" s="79"/>
      <c r="E64" s="79"/>
      <c r="F64" s="79"/>
      <c r="H64" s="234"/>
      <c r="I64" s="229"/>
      <c r="J64" s="229"/>
      <c r="K64" s="229"/>
      <c r="L64" s="230"/>
      <c r="M64" s="232"/>
    </row>
    <row r="65" spans="1:13">
      <c r="A65" s="228"/>
      <c r="B65" s="214" t="s">
        <v>221</v>
      </c>
      <c r="D65" s="79">
        <f>I65/L65</f>
        <v>0.49862635557655838</v>
      </c>
      <c r="E65" s="79">
        <f>J65/L65</f>
        <v>0</v>
      </c>
      <c r="F65" s="79">
        <f>K65/L65</f>
        <v>0.50137364442344168</v>
      </c>
      <c r="H65" s="234"/>
      <c r="I65" s="229">
        <v>3073.6620000000003</v>
      </c>
      <c r="J65" s="229">
        <v>0</v>
      </c>
      <c r="K65" s="229">
        <v>3090.5970000000002</v>
      </c>
      <c r="L65" s="230">
        <f>SUM(I65:K65)</f>
        <v>6164.259</v>
      </c>
      <c r="M65" s="232">
        <v>0</v>
      </c>
    </row>
    <row r="66" spans="1:13">
      <c r="A66" s="228">
        <f>MAX(A$7:A65)+1</f>
        <v>16</v>
      </c>
      <c r="B66" s="213" t="s">
        <v>1388</v>
      </c>
      <c r="D66" s="79"/>
      <c r="E66" s="79"/>
      <c r="F66" s="79"/>
      <c r="H66" s="234"/>
      <c r="I66" s="229"/>
      <c r="J66" s="229"/>
      <c r="K66" s="229"/>
      <c r="L66" s="230"/>
      <c r="M66" s="232"/>
    </row>
    <row r="67" spans="1:13">
      <c r="A67" s="228"/>
      <c r="B67" s="214" t="s">
        <v>1588</v>
      </c>
      <c r="D67" s="79">
        <f>I67/L67</f>
        <v>0.50291009601515491</v>
      </c>
      <c r="E67" s="79">
        <f>J67/L67</f>
        <v>0</v>
      </c>
      <c r="F67" s="79">
        <f>K67/L67</f>
        <v>0.49708990398484504</v>
      </c>
      <c r="H67" s="234"/>
      <c r="I67" s="229">
        <v>2416.66</v>
      </c>
      <c r="J67" s="229">
        <v>0</v>
      </c>
      <c r="K67" s="229">
        <v>2388.6919290000001</v>
      </c>
      <c r="L67" s="230">
        <f>SUM(I67:K67)</f>
        <v>4805.3519290000004</v>
      </c>
      <c r="M67" s="232" t="s">
        <v>1380</v>
      </c>
    </row>
    <row r="68" spans="1:13">
      <c r="A68" s="228"/>
      <c r="B68" s="214" t="s">
        <v>1589</v>
      </c>
      <c r="D68" s="79">
        <f t="shared" ref="D68" si="42">I68/L68</f>
        <v>0.48341750388324739</v>
      </c>
      <c r="E68" s="79">
        <f t="shared" ref="E68" si="43">J68/L68</f>
        <v>0</v>
      </c>
      <c r="F68" s="79">
        <f t="shared" ref="F68" si="44">K68/L68</f>
        <v>0.51658249611675255</v>
      </c>
      <c r="H68" s="234"/>
      <c r="I68" s="229">
        <v>554</v>
      </c>
      <c r="J68" s="229">
        <v>0</v>
      </c>
      <c r="K68" s="229">
        <v>592.00732400000004</v>
      </c>
      <c r="L68" s="230">
        <f t="shared" ref="L68" si="45">SUM(I68:K68)</f>
        <v>1146.0073240000002</v>
      </c>
      <c r="M68" s="232" t="s">
        <v>1380</v>
      </c>
    </row>
    <row r="69" spans="1:13">
      <c r="A69" s="228">
        <f>MAX(A$7:A67)+1</f>
        <v>17</v>
      </c>
      <c r="B69" s="213" t="s">
        <v>1389</v>
      </c>
      <c r="D69" s="79"/>
      <c r="E69" s="79"/>
      <c r="F69" s="79"/>
      <c r="H69" s="234"/>
      <c r="I69" s="229"/>
      <c r="J69" s="229"/>
      <c r="K69" s="229"/>
      <c r="L69" s="230"/>
      <c r="M69" s="232"/>
    </row>
    <row r="70" spans="1:13">
      <c r="A70" s="228"/>
      <c r="B70" s="214" t="s">
        <v>1390</v>
      </c>
      <c r="D70" s="79">
        <f>I70/L70</f>
        <v>0.4503853449479357</v>
      </c>
      <c r="E70" s="79">
        <f>J70/L70</f>
        <v>0</v>
      </c>
      <c r="F70" s="79">
        <f>K70/L70</f>
        <v>0.5496146550520643</v>
      </c>
      <c r="H70" s="234"/>
      <c r="I70" s="229">
        <v>867</v>
      </c>
      <c r="J70" s="229">
        <v>0</v>
      </c>
      <c r="K70" s="229">
        <v>1058.018231</v>
      </c>
      <c r="L70" s="230">
        <f>SUM(I70:K70)</f>
        <v>1925.018231</v>
      </c>
      <c r="M70" s="232" t="s">
        <v>1380</v>
      </c>
    </row>
    <row r="71" spans="1:13">
      <c r="A71" s="228">
        <f>MAX(A$7:A70)+1</f>
        <v>18</v>
      </c>
      <c r="B71" s="213" t="s">
        <v>1391</v>
      </c>
      <c r="D71" s="79"/>
      <c r="E71" s="79"/>
      <c r="F71" s="79"/>
      <c r="H71" s="234"/>
      <c r="I71" s="229"/>
      <c r="J71" s="229"/>
      <c r="K71" s="229"/>
      <c r="L71" s="230"/>
      <c r="M71" s="232"/>
    </row>
    <row r="72" spans="1:13">
      <c r="A72" s="228"/>
      <c r="B72" s="214" t="s">
        <v>1392</v>
      </c>
      <c r="D72" s="79">
        <f>I72/L72</f>
        <v>0.47209799328300311</v>
      </c>
      <c r="E72" s="79">
        <f>J72/L72</f>
        <v>0</v>
      </c>
      <c r="F72" s="79">
        <f>K72/L72</f>
        <v>0.52790200671699694</v>
      </c>
      <c r="H72" s="234"/>
      <c r="I72" s="229">
        <v>7490.8779999999997</v>
      </c>
      <c r="J72" s="229">
        <v>0</v>
      </c>
      <c r="K72" s="229">
        <v>8376.3320000000003</v>
      </c>
      <c r="L72" s="230">
        <f>SUM(I72:K72)</f>
        <v>15867.21</v>
      </c>
      <c r="M72" s="232">
        <v>0</v>
      </c>
    </row>
    <row r="73" spans="1:13">
      <c r="A73" s="228">
        <f>MAX(A$7:A72)+1</f>
        <v>19</v>
      </c>
      <c r="B73" s="213" t="s">
        <v>224</v>
      </c>
      <c r="D73" s="79"/>
      <c r="E73" s="79"/>
      <c r="F73" s="79"/>
      <c r="H73" s="234"/>
      <c r="I73" s="229"/>
      <c r="J73" s="229"/>
      <c r="K73" s="229"/>
      <c r="L73" s="230"/>
      <c r="M73" s="232"/>
    </row>
    <row r="74" spans="1:13">
      <c r="A74" s="228"/>
      <c r="B74" s="214" t="s">
        <v>486</v>
      </c>
      <c r="D74" s="79">
        <f>I74/L74</f>
        <v>0.44846455162515325</v>
      </c>
      <c r="E74" s="79">
        <f>J74/L74</f>
        <v>0</v>
      </c>
      <c r="F74" s="79">
        <f>K74/L74</f>
        <v>0.5515354483748468</v>
      </c>
      <c r="H74" s="234"/>
      <c r="I74" s="229">
        <v>14998</v>
      </c>
      <c r="J74" s="229">
        <v>0</v>
      </c>
      <c r="K74" s="229">
        <v>18445</v>
      </c>
      <c r="L74" s="230">
        <f>SUM(I74:K74)</f>
        <v>33443</v>
      </c>
      <c r="M74" s="232">
        <v>0</v>
      </c>
    </row>
    <row r="75" spans="1:13">
      <c r="A75" s="228">
        <f>MAX(A$7:A74)+1</f>
        <v>20</v>
      </c>
      <c r="B75" s="213" t="s">
        <v>226</v>
      </c>
      <c r="D75" s="79"/>
      <c r="E75" s="79"/>
      <c r="F75" s="79"/>
      <c r="H75" s="234"/>
      <c r="I75" s="229"/>
      <c r="J75" s="229"/>
      <c r="K75" s="229"/>
      <c r="L75" s="230"/>
      <c r="M75" s="232"/>
    </row>
    <row r="76" spans="1:13">
      <c r="A76" s="228"/>
      <c r="B76" s="214" t="s">
        <v>487</v>
      </c>
      <c r="D76" s="79">
        <f t="shared" ref="D76:D77" si="46">I76/L76</f>
        <v>0.48778122575640032</v>
      </c>
      <c r="E76" s="79">
        <f t="shared" ref="E76:E77" si="47">J76/L76</f>
        <v>0</v>
      </c>
      <c r="F76" s="79">
        <f t="shared" ref="F76:F77" si="48">K76/L76</f>
        <v>0.51221877424359974</v>
      </c>
      <c r="H76" s="234"/>
      <c r="I76" s="229">
        <v>10060</v>
      </c>
      <c r="J76" s="229">
        <v>0</v>
      </c>
      <c r="K76" s="229">
        <v>10564</v>
      </c>
      <c r="L76" s="230">
        <f t="shared" ref="L76:L77" si="49">SUM(I76:K76)</f>
        <v>20624</v>
      </c>
      <c r="M76" s="232">
        <v>0</v>
      </c>
    </row>
    <row r="77" spans="1:13">
      <c r="A77" s="228"/>
      <c r="B77" s="214" t="s">
        <v>488</v>
      </c>
      <c r="D77" s="79">
        <f t="shared" si="46"/>
        <v>0.47734196964585801</v>
      </c>
      <c r="E77" s="79">
        <f t="shared" si="47"/>
        <v>0</v>
      </c>
      <c r="F77" s="79">
        <f t="shared" si="48"/>
        <v>0.52265803035414193</v>
      </c>
      <c r="H77" s="234"/>
      <c r="I77" s="229">
        <v>14414.476823000001</v>
      </c>
      <c r="J77" s="229">
        <v>0</v>
      </c>
      <c r="K77" s="229">
        <v>15782.903125999999</v>
      </c>
      <c r="L77" s="230">
        <f t="shared" si="49"/>
        <v>30197.379949000002</v>
      </c>
      <c r="M77" s="232" t="s">
        <v>1380</v>
      </c>
    </row>
    <row r="78" spans="1:13" ht="16" thickBot="1">
      <c r="A78" s="233"/>
      <c r="D78" s="79"/>
      <c r="E78" s="79"/>
      <c r="F78" s="79"/>
      <c r="H78" s="234"/>
      <c r="I78" s="229"/>
      <c r="J78" s="229"/>
      <c r="K78" s="229"/>
      <c r="L78" s="230"/>
      <c r="M78" s="231">
        <v>0</v>
      </c>
    </row>
    <row r="79" spans="1:13">
      <c r="A79" s="233"/>
      <c r="B79" s="235" t="s">
        <v>489</v>
      </c>
      <c r="C79" s="236"/>
      <c r="D79" s="236">
        <f>MIN(D8:D30,D31:D77)</f>
        <v>0.32032335511801974</v>
      </c>
      <c r="E79" s="236">
        <f>MIN(E8:E30,E31:E77)</f>
        <v>0</v>
      </c>
      <c r="F79" s="237">
        <f>MIN(F8:F30,F31:F77)</f>
        <v>0.37368461332414954</v>
      </c>
      <c r="G79" s="80"/>
      <c r="M79" s="231"/>
    </row>
    <row r="80" spans="1:13">
      <c r="A80" s="233"/>
      <c r="B80" s="238" t="s">
        <v>490</v>
      </c>
      <c r="C80" s="239"/>
      <c r="D80" s="204">
        <f>MAX(D8:D30,D31:D77)</f>
        <v>0.58384035510657029</v>
      </c>
      <c r="E80" s="204">
        <f>MAX(E8:E30,E31:E77)</f>
        <v>4.2475031569280224E-2</v>
      </c>
      <c r="F80" s="240">
        <f>MAX(F8:F30,F31:F77)</f>
        <v>0.67967664488198021</v>
      </c>
      <c r="G80" s="80"/>
      <c r="M80" s="231"/>
    </row>
    <row r="81" spans="1:40" ht="16" thickBot="1">
      <c r="B81" s="241" t="s">
        <v>252</v>
      </c>
      <c r="C81" s="242"/>
      <c r="D81" s="242">
        <f>AVERAGE(D8:D30,D31:D77)</f>
        <v>0.48212436254913621</v>
      </c>
      <c r="E81" s="242">
        <f>AVERAGE(E8:E30,E31:E77)</f>
        <v>1.2372045575395733E-3</v>
      </c>
      <c r="F81" s="243">
        <f>AVERAGE(F8:F30,F31:F77)</f>
        <v>0.51663843289332423</v>
      </c>
      <c r="M81" s="231"/>
    </row>
    <row r="82" spans="1:40">
      <c r="M82" s="231"/>
    </row>
    <row r="83" spans="1:40" s="744" customFormat="1" ht="13">
      <c r="A83" s="744" t="s">
        <v>1232</v>
      </c>
      <c r="M83" s="743"/>
      <c r="X83" s="745"/>
      <c r="Y83" s="745"/>
      <c r="Z83" s="745"/>
      <c r="AA83" s="745"/>
      <c r="AB83" s="745"/>
      <c r="AC83" s="745"/>
      <c r="AD83" s="745"/>
      <c r="AE83" s="745"/>
      <c r="AF83" s="745"/>
      <c r="AG83" s="745"/>
      <c r="AH83" s="745"/>
      <c r="AI83" s="745"/>
      <c r="AJ83" s="745"/>
      <c r="AK83" s="745"/>
      <c r="AL83" s="745"/>
      <c r="AM83" s="745"/>
      <c r="AN83" s="745"/>
    </row>
    <row r="84" spans="1:40">
      <c r="A84" s="244" t="s">
        <v>1590</v>
      </c>
      <c r="M84" s="231"/>
    </row>
    <row r="85" spans="1:40">
      <c r="A85" s="244"/>
      <c r="B85" s="111"/>
      <c r="M85" s="231"/>
    </row>
    <row r="86" spans="1:40">
      <c r="A86" s="233"/>
      <c r="M86" s="231"/>
    </row>
    <row r="87" spans="1:40">
      <c r="A87" s="233"/>
      <c r="B87" s="213"/>
      <c r="C87" s="1"/>
      <c r="D87" s="214" t="s">
        <v>1394</v>
      </c>
      <c r="F87" s="214">
        <f>COUNT(F8:F77)</f>
        <v>51</v>
      </c>
      <c r="M87" s="231"/>
    </row>
    <row r="88" spans="1:40">
      <c r="A88" s="233"/>
      <c r="D88" s="214" t="s">
        <v>1930</v>
      </c>
      <c r="F88" s="214">
        <f>COUNTIF(F8:F77,"&gt;0.4613")</f>
        <v>47</v>
      </c>
      <c r="M88" s="231"/>
    </row>
  </sheetData>
  <mergeCells count="1">
    <mergeCell ref="I4:L4"/>
  </mergeCells>
  <conditionalFormatting sqref="O110 D83:F85 I78:L78 D79:F81 D31:F43 D65:F67 I7:M77 D45:F58 D69:F77 M78:M88">
    <cfRule type="cellIs" dxfId="45" priority="178" operator="equal">
      <formula>"zzz"</formula>
    </cfRule>
  </conditionalFormatting>
  <conditionalFormatting sqref="D4:F4">
    <cfRule type="cellIs" dxfId="44" priority="109" operator="equal">
      <formula>"zzz"</formula>
    </cfRule>
  </conditionalFormatting>
  <conditionalFormatting sqref="D78:F78">
    <cfRule type="cellIs" dxfId="43" priority="86" operator="equal">
      <formula>"zzz"</formula>
    </cfRule>
  </conditionalFormatting>
  <conditionalFormatting sqref="D7:F8 D11:F22">
    <cfRule type="cellIs" dxfId="42" priority="13" operator="equal">
      <formula>"zzz"</formula>
    </cfRule>
  </conditionalFormatting>
  <conditionalFormatting sqref="D10:F10">
    <cfRule type="cellIs" dxfId="41" priority="12" operator="equal">
      <formula>"zzz"</formula>
    </cfRule>
  </conditionalFormatting>
  <conditionalFormatting sqref="D29:F29">
    <cfRule type="cellIs" dxfId="40" priority="11" operator="equal">
      <formula>"zzz"</formula>
    </cfRule>
  </conditionalFormatting>
  <conditionalFormatting sqref="D23:F23">
    <cfRule type="cellIs" dxfId="39" priority="10" operator="equal">
      <formula>"zzz"</formula>
    </cfRule>
  </conditionalFormatting>
  <conditionalFormatting sqref="D64:F64">
    <cfRule type="cellIs" dxfId="38" priority="9" operator="equal">
      <formula>"zzz"</formula>
    </cfRule>
  </conditionalFormatting>
  <conditionalFormatting sqref="D9:F9">
    <cfRule type="cellIs" dxfId="37" priority="8" operator="equal">
      <formula>"zzz"</formula>
    </cfRule>
  </conditionalFormatting>
  <conditionalFormatting sqref="D24:F27">
    <cfRule type="cellIs" dxfId="36" priority="6" operator="equal">
      <formula>"zzz"</formula>
    </cfRule>
  </conditionalFormatting>
  <conditionalFormatting sqref="D30:F30">
    <cfRule type="cellIs" dxfId="35" priority="5" operator="equal">
      <formula>"zzz"</formula>
    </cfRule>
  </conditionalFormatting>
  <conditionalFormatting sqref="D28:F28">
    <cfRule type="cellIs" dxfId="34" priority="4" operator="equal">
      <formula>"zzz"</formula>
    </cfRule>
  </conditionalFormatting>
  <conditionalFormatting sqref="D44:F44">
    <cfRule type="cellIs" dxfId="33" priority="3" operator="equal">
      <formula>"zzz"</formula>
    </cfRule>
  </conditionalFormatting>
  <conditionalFormatting sqref="D59:F63">
    <cfRule type="cellIs" dxfId="32" priority="2" operator="equal">
      <formula>"zzz"</formula>
    </cfRule>
  </conditionalFormatting>
  <conditionalFormatting sqref="D68:F68">
    <cfRule type="cellIs" dxfId="31" priority="1" operator="equal">
      <formula>"zzz"</formula>
    </cfRule>
  </conditionalFormatting>
  <printOptions horizontalCentered="1"/>
  <pageMargins left="1" right="1" top="1.25" bottom="0.5" header="0.5" footer="0.5"/>
  <pageSetup orientation="portrait" useFirstPageNumber="1" r:id="rId1"/>
  <headerFooter>
    <oddHeader>&amp;L&amp;"Times New Roman,Bold"&amp;12CAPITAL STRUCTURE
&amp;UELECTRIC GROUP OPERATING COS.&amp;R&amp;"Times New Roman,Bold"&amp;12Exhibit AMM-4
Page &amp;P of 3</oddHeader>
  </headerFooter>
  <rowBreaks count="1" manualBreakCount="1">
    <brk id="44" max="6"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0664A-8553-48E4-AC2D-461F933A3A58}">
  <sheetPr>
    <pageSetUpPr fitToPage="1"/>
  </sheetPr>
  <dimension ref="A2:AT60"/>
  <sheetViews>
    <sheetView showGridLines="0" defaultGridColor="0" colorId="22" zoomScale="120" zoomScaleNormal="120" workbookViewId="0">
      <pane ySplit="2" topLeftCell="A3" activePane="bottomLeft" state="frozen"/>
      <selection activeCell="B1" sqref="B1"/>
      <selection pane="bottomLeft"/>
    </sheetView>
  </sheetViews>
  <sheetFormatPr defaultColWidth="9.1796875" defaultRowHeight="11.25" customHeight="1"/>
  <cols>
    <col min="1" max="1" width="4.1796875" style="932" customWidth="1"/>
    <col min="2" max="2" width="9.1796875" style="932" customWidth="1"/>
    <col min="3" max="3" width="1.54296875" style="932" customWidth="1"/>
    <col min="4" max="4" width="33.1796875" style="932" customWidth="1"/>
    <col min="5" max="5" width="6.81640625" style="932" customWidth="1"/>
    <col min="6" max="6" width="5" style="932" bestFit="1" customWidth="1"/>
    <col min="7" max="8" width="9.1796875" style="932"/>
    <col min="9" max="9" width="13.54296875" style="932" customWidth="1"/>
    <col min="10" max="11" width="9.81640625" style="932" customWidth="1"/>
    <col min="12" max="12" width="12.1796875" style="932" customWidth="1"/>
    <col min="13" max="13" width="10" style="932" customWidth="1"/>
    <col min="14" max="15" width="10" style="898" customWidth="1"/>
    <col min="16" max="16" width="10" style="899" customWidth="1"/>
    <col min="17" max="17" width="10" style="893" customWidth="1"/>
    <col min="18" max="18" width="4" style="893" customWidth="1"/>
    <col min="19" max="19" width="7.81640625" style="940" customWidth="1"/>
    <col min="20" max="22" width="10" style="893" customWidth="1"/>
    <col min="23" max="23" width="3.453125" style="893" customWidth="1"/>
    <col min="24" max="24" width="9.1796875" style="893"/>
    <col min="25" max="25" width="9.81640625" style="897" customWidth="1"/>
    <col min="26" max="46" width="9.1796875" style="893"/>
    <col min="47" max="16384" width="9.1796875" style="932"/>
  </cols>
  <sheetData>
    <row r="2" spans="1:27" s="893" customFormat="1" ht="35.15" customHeight="1">
      <c r="B2" s="894"/>
      <c r="C2" s="895"/>
      <c r="D2" s="896"/>
      <c r="E2" s="896"/>
      <c r="F2" s="897"/>
      <c r="G2" s="897"/>
      <c r="I2" s="897"/>
      <c r="J2" s="897"/>
      <c r="K2" s="897"/>
      <c r="L2" s="897"/>
      <c r="M2" s="897"/>
      <c r="N2" s="898"/>
      <c r="O2" s="898"/>
      <c r="P2" s="899"/>
      <c r="Q2" s="897"/>
      <c r="R2" s="897"/>
      <c r="S2" s="899"/>
      <c r="U2" s="897"/>
      <c r="V2" s="897"/>
      <c r="Y2" s="897"/>
    </row>
    <row r="3" spans="1:27" s="902" customFormat="1" ht="13">
      <c r="B3" s="903" t="s">
        <v>1611</v>
      </c>
      <c r="C3" s="904"/>
      <c r="D3" s="905"/>
      <c r="E3" s="906"/>
      <c r="F3" s="907"/>
      <c r="G3" s="908"/>
      <c r="H3" s="908"/>
      <c r="I3" s="909"/>
      <c r="J3" s="910"/>
      <c r="K3" s="911"/>
      <c r="L3" s="912"/>
      <c r="M3" s="913"/>
      <c r="N3" s="914"/>
      <c r="O3" s="914"/>
      <c r="P3" s="915"/>
      <c r="Q3" s="916"/>
      <c r="R3" s="916"/>
      <c r="S3" s="917"/>
      <c r="T3" s="916"/>
      <c r="U3" s="916"/>
      <c r="V3" s="916"/>
      <c r="W3" s="918"/>
      <c r="X3" s="918"/>
      <c r="Y3" s="918"/>
      <c r="Z3" s="918"/>
    </row>
    <row r="4" spans="1:27" s="919" customFormat="1" ht="31.5">
      <c r="B4" s="920" t="s">
        <v>514</v>
      </c>
      <c r="C4" s="921"/>
      <c r="D4" s="922" t="s">
        <v>78</v>
      </c>
      <c r="E4" s="922" t="s">
        <v>526</v>
      </c>
      <c r="F4" s="922" t="s">
        <v>141</v>
      </c>
      <c r="G4" s="924" t="s">
        <v>1902</v>
      </c>
      <c r="H4" s="923" t="s">
        <v>1613</v>
      </c>
      <c r="I4" s="924" t="s">
        <v>1683</v>
      </c>
      <c r="J4" s="924" t="s">
        <v>1615</v>
      </c>
      <c r="K4" s="925" t="s">
        <v>1616</v>
      </c>
      <c r="L4" s="925" t="s">
        <v>1617</v>
      </c>
      <c r="M4" s="926" t="s">
        <v>1618</v>
      </c>
      <c r="N4" s="927"/>
      <c r="O4" s="927"/>
      <c r="P4" s="928"/>
      <c r="Q4" s="929"/>
      <c r="R4" s="929"/>
      <c r="S4" s="930"/>
      <c r="T4" s="929"/>
      <c r="U4" s="929"/>
      <c r="V4" s="929"/>
      <c r="W4" s="931"/>
      <c r="X4" s="931"/>
      <c r="Y4" s="931"/>
      <c r="Z4" s="931"/>
    </row>
    <row r="5" spans="1:27" s="893" customFormat="1" ht="11.25" customHeight="1">
      <c r="A5" s="932"/>
      <c r="B5" s="933">
        <v>45310</v>
      </c>
      <c r="C5" s="934"/>
      <c r="D5" s="932" t="s">
        <v>158</v>
      </c>
      <c r="E5" s="932" t="s">
        <v>551</v>
      </c>
      <c r="F5" s="932" t="s">
        <v>159</v>
      </c>
      <c r="G5" s="1280">
        <f t="shared" ref="G5:G48" si="0">H5/100*I5/100</f>
        <v>4.0218750000000004E-2</v>
      </c>
      <c r="H5" s="936">
        <v>9.75</v>
      </c>
      <c r="I5" s="941">
        <v>41.25</v>
      </c>
      <c r="J5" s="937">
        <v>45016</v>
      </c>
      <c r="K5" s="935" t="s">
        <v>1621</v>
      </c>
      <c r="L5" s="938">
        <v>60.031999999999996</v>
      </c>
      <c r="M5" s="938" t="s">
        <v>1290</v>
      </c>
      <c r="N5" s="898"/>
      <c r="O5" s="935"/>
      <c r="P5" s="936"/>
      <c r="Q5" s="941"/>
      <c r="R5" s="937"/>
      <c r="S5" s="935"/>
      <c r="T5" s="938"/>
      <c r="U5" s="899"/>
      <c r="V5" s="939"/>
      <c r="W5" s="939"/>
      <c r="X5" s="940"/>
      <c r="Y5" s="899"/>
      <c r="Z5" s="941"/>
      <c r="AA5" s="942"/>
    </row>
    <row r="6" spans="1:27" s="893" customFormat="1" ht="11.25" customHeight="1">
      <c r="A6" s="932"/>
      <c r="B6" s="804">
        <v>45737</v>
      </c>
      <c r="C6" s="805"/>
      <c r="D6" s="806" t="s">
        <v>175</v>
      </c>
      <c r="E6" s="806" t="s">
        <v>662</v>
      </c>
      <c r="F6" s="806" t="s">
        <v>161</v>
      </c>
      <c r="G6" s="1280">
        <f t="shared" si="0"/>
        <v>4.1312700000000001E-2</v>
      </c>
      <c r="H6" s="808">
        <v>9.9</v>
      </c>
      <c r="I6" s="808">
        <v>41.73</v>
      </c>
      <c r="J6" s="816">
        <v>46081</v>
      </c>
      <c r="K6" s="810" t="s">
        <v>47</v>
      </c>
      <c r="L6" s="811">
        <v>153.809</v>
      </c>
      <c r="M6" s="811" t="s">
        <v>1518</v>
      </c>
      <c r="P6" s="897"/>
      <c r="Q6" s="899"/>
      <c r="R6" s="899"/>
      <c r="S6" s="899"/>
      <c r="T6" s="940"/>
      <c r="U6" s="899"/>
      <c r="V6" s="899"/>
      <c r="Y6" s="897"/>
    </row>
    <row r="7" spans="1:27" s="893" customFormat="1" ht="11.25" customHeight="1">
      <c r="A7" s="932"/>
      <c r="B7" s="934">
        <v>45568</v>
      </c>
      <c r="C7" s="934"/>
      <c r="D7" s="893" t="s">
        <v>168</v>
      </c>
      <c r="E7" s="932" t="s">
        <v>551</v>
      </c>
      <c r="F7" s="932" t="s">
        <v>169</v>
      </c>
      <c r="G7" s="1280">
        <f t="shared" si="0"/>
        <v>4.1479999999999996E-2</v>
      </c>
      <c r="H7" s="969">
        <v>9.76</v>
      </c>
      <c r="I7" s="936">
        <v>42.5</v>
      </c>
      <c r="J7" s="937">
        <v>45199</v>
      </c>
      <c r="K7" s="935" t="s">
        <v>1620</v>
      </c>
      <c r="L7" s="971">
        <v>45.499006999999999</v>
      </c>
      <c r="M7" s="938" t="s">
        <v>1639</v>
      </c>
      <c r="N7" s="968"/>
      <c r="O7" s="936"/>
      <c r="P7" s="969"/>
      <c r="Q7" s="936"/>
      <c r="R7" s="937"/>
      <c r="S7" s="935"/>
      <c r="T7" s="971"/>
      <c r="U7" s="958"/>
      <c r="V7" s="958"/>
      <c r="X7" s="957"/>
      <c r="Y7" s="958"/>
    </row>
    <row r="8" spans="1:27" s="893" customFormat="1" ht="11.25" customHeight="1">
      <c r="A8" s="932"/>
      <c r="B8" s="804">
        <v>45729</v>
      </c>
      <c r="C8" s="805"/>
      <c r="D8" s="806" t="s">
        <v>1903</v>
      </c>
      <c r="E8" s="806" t="s">
        <v>664</v>
      </c>
      <c r="F8" s="806" t="s">
        <v>169</v>
      </c>
      <c r="G8" s="1280">
        <f t="shared" si="0"/>
        <v>4.1736250000000003E-2</v>
      </c>
      <c r="H8" s="808">
        <v>9.65</v>
      </c>
      <c r="I8" s="808">
        <v>43.25</v>
      </c>
      <c r="J8" s="809">
        <v>45291</v>
      </c>
      <c r="K8" s="810" t="s">
        <v>1620</v>
      </c>
      <c r="L8" s="811">
        <v>-33.542836999999999</v>
      </c>
      <c r="M8" s="811" t="s">
        <v>1639</v>
      </c>
      <c r="N8" s="898"/>
      <c r="O8" s="898"/>
      <c r="P8" s="899"/>
      <c r="Q8" s="942"/>
      <c r="R8" s="942"/>
      <c r="S8" s="899"/>
      <c r="T8" s="940"/>
      <c r="U8" s="899"/>
      <c r="V8" s="899"/>
      <c r="Y8" s="897"/>
    </row>
    <row r="9" spans="1:27" s="893" customFormat="1" ht="11.25" customHeight="1">
      <c r="A9" s="932"/>
      <c r="B9" s="804">
        <v>45686</v>
      </c>
      <c r="C9" s="805"/>
      <c r="D9" s="806" t="s">
        <v>184</v>
      </c>
      <c r="E9" s="806" t="s">
        <v>718</v>
      </c>
      <c r="F9" s="806" t="s">
        <v>157</v>
      </c>
      <c r="G9" s="1280">
        <f t="shared" si="0"/>
        <v>4.2197999999999999E-2</v>
      </c>
      <c r="H9" s="808">
        <v>9.75</v>
      </c>
      <c r="I9" s="814">
        <v>43.28</v>
      </c>
      <c r="J9" s="809">
        <v>46022</v>
      </c>
      <c r="K9" s="810" t="s">
        <v>1620</v>
      </c>
      <c r="L9" s="811">
        <v>295.678</v>
      </c>
      <c r="M9" s="811" t="s">
        <v>1624</v>
      </c>
      <c r="N9" s="898"/>
      <c r="O9" s="898"/>
      <c r="P9" s="899"/>
      <c r="Q9" s="942"/>
      <c r="R9" s="935"/>
      <c r="S9" s="936"/>
      <c r="T9" s="987"/>
      <c r="U9" s="988"/>
      <c r="V9" s="939"/>
      <c r="W9" s="939"/>
      <c r="Y9" s="897"/>
    </row>
    <row r="10" spans="1:27" s="893" customFormat="1" ht="11.25" customHeight="1">
      <c r="A10" s="932"/>
      <c r="B10" s="804">
        <v>45720</v>
      </c>
      <c r="C10" s="805"/>
      <c r="D10" s="806" t="s">
        <v>1634</v>
      </c>
      <c r="E10" s="806" t="s">
        <v>1635</v>
      </c>
      <c r="F10" s="806" t="s">
        <v>183</v>
      </c>
      <c r="G10" s="1280">
        <f t="shared" si="0"/>
        <v>4.3056300000000006E-2</v>
      </c>
      <c r="H10" s="808">
        <v>10.15</v>
      </c>
      <c r="I10" s="808">
        <v>42.42</v>
      </c>
      <c r="J10" s="809">
        <v>46022</v>
      </c>
      <c r="K10" s="810" t="s">
        <v>47</v>
      </c>
      <c r="L10" s="811">
        <v>9.6751710000000006</v>
      </c>
      <c r="M10" s="817" t="s">
        <v>1636</v>
      </c>
      <c r="N10" s="898"/>
      <c r="O10" s="898"/>
      <c r="P10" s="899"/>
      <c r="Q10" s="899"/>
      <c r="R10" s="899"/>
      <c r="S10" s="899"/>
      <c r="T10" s="940"/>
      <c r="U10" s="899"/>
      <c r="V10" s="899"/>
      <c r="Y10" s="897"/>
    </row>
    <row r="11" spans="1:27" s="893" customFormat="1" ht="11.25" customHeight="1">
      <c r="A11" s="932"/>
      <c r="B11" s="933">
        <v>45399</v>
      </c>
      <c r="C11" s="934"/>
      <c r="D11" s="932" t="s">
        <v>1690</v>
      </c>
      <c r="E11" s="932" t="s">
        <v>553</v>
      </c>
      <c r="F11" s="932" t="s">
        <v>157</v>
      </c>
      <c r="G11" s="1280">
        <f t="shared" si="0"/>
        <v>4.3916399999999994E-2</v>
      </c>
      <c r="H11" s="936">
        <v>9.9</v>
      </c>
      <c r="I11" s="936">
        <v>44.36</v>
      </c>
      <c r="J11" s="943">
        <v>44926</v>
      </c>
      <c r="K11" s="935" t="s">
        <v>1620</v>
      </c>
      <c r="L11" s="938">
        <v>71.037000000000006</v>
      </c>
      <c r="M11" s="938" t="s">
        <v>1290</v>
      </c>
      <c r="N11" s="898"/>
      <c r="O11" s="896"/>
      <c r="P11" s="936"/>
      <c r="Q11" s="936"/>
      <c r="R11" s="943"/>
      <c r="S11" s="935"/>
      <c r="T11" s="938"/>
      <c r="U11" s="958"/>
      <c r="V11" s="958"/>
      <c r="X11" s="957"/>
      <c r="Y11" s="958"/>
    </row>
    <row r="12" spans="1:27" s="893" customFormat="1" ht="11.25" customHeight="1">
      <c r="A12" s="932"/>
      <c r="B12" s="804">
        <v>45728</v>
      </c>
      <c r="C12" s="805"/>
      <c r="D12" s="806" t="s">
        <v>1638</v>
      </c>
      <c r="E12" s="806" t="s">
        <v>1264</v>
      </c>
      <c r="F12" s="806" t="s">
        <v>233</v>
      </c>
      <c r="G12" s="1280">
        <f t="shared" si="0"/>
        <v>4.5120000000000007E-2</v>
      </c>
      <c r="H12" s="808">
        <v>9.4</v>
      </c>
      <c r="I12" s="808">
        <v>48</v>
      </c>
      <c r="J12" s="816">
        <v>45291</v>
      </c>
      <c r="K12" s="810" t="s">
        <v>47</v>
      </c>
      <c r="L12" s="811">
        <v>17.03152</v>
      </c>
      <c r="M12" s="811" t="s">
        <v>1518</v>
      </c>
      <c r="N12" s="898"/>
      <c r="O12" s="898"/>
      <c r="P12" s="899"/>
      <c r="Q12" s="942"/>
      <c r="R12" s="942"/>
      <c r="S12" s="899"/>
      <c r="T12" s="940"/>
      <c r="U12" s="899"/>
      <c r="V12" s="899"/>
      <c r="Y12" s="897"/>
    </row>
    <row r="13" spans="1:27" s="893" customFormat="1" ht="11.25" customHeight="1">
      <c r="A13" s="932"/>
      <c r="B13" s="933">
        <v>45491</v>
      </c>
      <c r="C13" s="934"/>
      <c r="D13" s="932" t="s">
        <v>1904</v>
      </c>
      <c r="E13" s="932" t="s">
        <v>1265</v>
      </c>
      <c r="F13" s="932" t="s">
        <v>178</v>
      </c>
      <c r="G13" s="1280">
        <f t="shared" si="0"/>
        <v>4.5600000000000002E-2</v>
      </c>
      <c r="H13" s="969">
        <v>9.5</v>
      </c>
      <c r="I13" s="969">
        <v>48</v>
      </c>
      <c r="J13" s="937">
        <v>45838</v>
      </c>
      <c r="K13" s="935" t="s">
        <v>47</v>
      </c>
      <c r="L13" s="971">
        <v>74.418000000000006</v>
      </c>
      <c r="M13" s="938" t="s">
        <v>138</v>
      </c>
      <c r="N13" s="968"/>
      <c r="O13" s="968"/>
      <c r="P13" s="971"/>
      <c r="Q13" s="971"/>
      <c r="R13" s="958"/>
      <c r="S13" s="963"/>
      <c r="T13" s="957"/>
      <c r="U13" s="958"/>
      <c r="V13" s="958"/>
      <c r="X13" s="957"/>
      <c r="Y13" s="958"/>
    </row>
    <row r="14" spans="1:27" s="893" customFormat="1" ht="11.25" customHeight="1">
      <c r="A14" s="932"/>
      <c r="B14" s="933">
        <v>45294</v>
      </c>
      <c r="C14" s="934"/>
      <c r="D14" s="932" t="s">
        <v>1684</v>
      </c>
      <c r="E14" s="932" t="s">
        <v>1685</v>
      </c>
      <c r="F14" s="932" t="s">
        <v>235</v>
      </c>
      <c r="G14" s="1280">
        <f t="shared" si="0"/>
        <v>4.5938860000000005E-2</v>
      </c>
      <c r="H14" s="936">
        <v>9.26</v>
      </c>
      <c r="I14" s="936">
        <v>49.61</v>
      </c>
      <c r="J14" s="937">
        <v>45657</v>
      </c>
      <c r="K14" s="935" t="s">
        <v>47</v>
      </c>
      <c r="L14" s="938">
        <v>15.3</v>
      </c>
      <c r="M14" s="938" t="s">
        <v>1518</v>
      </c>
      <c r="N14" s="898"/>
      <c r="O14" s="935"/>
      <c r="P14" s="936"/>
      <c r="Q14" s="936"/>
      <c r="R14" s="937"/>
      <c r="S14" s="935"/>
      <c r="T14" s="938"/>
      <c r="U14" s="899"/>
      <c r="V14" s="939"/>
      <c r="W14" s="939"/>
      <c r="X14" s="940"/>
      <c r="Y14" s="899"/>
      <c r="Z14" s="941"/>
      <c r="AA14" s="942"/>
    </row>
    <row r="15" spans="1:27" s="893" customFormat="1" ht="11.25" customHeight="1">
      <c r="A15" s="932"/>
      <c r="B15" s="933"/>
      <c r="C15" s="934"/>
      <c r="D15" s="932" t="s">
        <v>1913</v>
      </c>
      <c r="E15" s="932"/>
      <c r="F15" s="932"/>
      <c r="G15" s="1280">
        <f>$E$60</f>
        <v>4.6130000000000004E-2</v>
      </c>
      <c r="H15" s="969"/>
      <c r="I15" s="969"/>
      <c r="J15" s="937"/>
      <c r="K15" s="935"/>
      <c r="L15" s="971"/>
      <c r="M15" s="938"/>
      <c r="N15" s="968"/>
      <c r="O15" s="968"/>
      <c r="P15" s="971"/>
      <c r="Q15" s="971"/>
      <c r="R15" s="958"/>
      <c r="S15" s="963"/>
      <c r="T15" s="957"/>
      <c r="U15" s="958"/>
      <c r="V15" s="958"/>
      <c r="X15" s="957"/>
      <c r="Y15" s="958"/>
    </row>
    <row r="16" spans="1:27" s="893" customFormat="1" ht="11.25" customHeight="1">
      <c r="A16" s="932"/>
      <c r="B16" s="934">
        <v>45646</v>
      </c>
      <c r="C16" s="934"/>
      <c r="D16" s="893" t="s">
        <v>1406</v>
      </c>
      <c r="E16" s="932" t="s">
        <v>1277</v>
      </c>
      <c r="F16" s="932" t="s">
        <v>223</v>
      </c>
      <c r="G16" s="1280">
        <f t="shared" si="0"/>
        <v>4.6699999999999998E-2</v>
      </c>
      <c r="H16" s="936">
        <v>9.34</v>
      </c>
      <c r="I16" s="936">
        <v>50</v>
      </c>
      <c r="J16" s="943">
        <v>46022</v>
      </c>
      <c r="K16" s="935" t="s">
        <v>1620</v>
      </c>
      <c r="L16" s="971">
        <v>100</v>
      </c>
      <c r="M16" s="938" t="s">
        <v>1518</v>
      </c>
      <c r="N16" s="968"/>
      <c r="O16" s="936"/>
      <c r="P16" s="936"/>
      <c r="Q16" s="936"/>
      <c r="R16" s="943"/>
      <c r="S16" s="935"/>
      <c r="T16" s="971"/>
      <c r="U16" s="958"/>
      <c r="V16" s="958"/>
      <c r="X16" s="957"/>
      <c r="Y16" s="958"/>
    </row>
    <row r="17" spans="1:46" s="893" customFormat="1" ht="11.25" customHeight="1">
      <c r="A17" s="932"/>
      <c r="B17" s="804">
        <v>45729</v>
      </c>
      <c r="C17" s="805"/>
      <c r="D17" s="806" t="s">
        <v>1640</v>
      </c>
      <c r="E17" s="806" t="s">
        <v>1518</v>
      </c>
      <c r="F17" s="806" t="s">
        <v>1641</v>
      </c>
      <c r="G17" s="1280">
        <f t="shared" si="0"/>
        <v>4.675E-2</v>
      </c>
      <c r="H17" s="808">
        <v>9.35</v>
      </c>
      <c r="I17" s="808">
        <v>50</v>
      </c>
      <c r="J17" s="816">
        <v>45107</v>
      </c>
      <c r="K17" s="810" t="s">
        <v>47</v>
      </c>
      <c r="L17" s="811">
        <v>32.299999999999997</v>
      </c>
      <c r="M17" s="811" t="s">
        <v>138</v>
      </c>
      <c r="N17" s="898"/>
      <c r="O17" s="898"/>
      <c r="P17" s="899"/>
      <c r="Q17" s="899"/>
      <c r="R17" s="899"/>
      <c r="S17" s="899"/>
      <c r="T17" s="940"/>
      <c r="U17" s="899"/>
      <c r="V17" s="899"/>
      <c r="Y17" s="897"/>
    </row>
    <row r="18" spans="1:46" s="893" customFormat="1" ht="11.25" customHeight="1">
      <c r="A18" s="932"/>
      <c r="B18" s="804">
        <v>45736</v>
      </c>
      <c r="C18" s="805"/>
      <c r="D18" s="806" t="s">
        <v>1907</v>
      </c>
      <c r="E18" s="806" t="s">
        <v>728</v>
      </c>
      <c r="F18" s="806" t="s">
        <v>178</v>
      </c>
      <c r="G18" s="1280">
        <f t="shared" si="0"/>
        <v>4.6799999999999994E-2</v>
      </c>
      <c r="H18" s="808">
        <v>9.75</v>
      </c>
      <c r="I18" s="808">
        <v>48</v>
      </c>
      <c r="J18" s="816">
        <v>46022</v>
      </c>
      <c r="K18" s="810" t="s">
        <v>47</v>
      </c>
      <c r="L18" s="811">
        <v>-13.06</v>
      </c>
      <c r="M18" s="811" t="s">
        <v>1643</v>
      </c>
      <c r="N18" s="940"/>
      <c r="O18" s="940"/>
      <c r="P18" s="899"/>
      <c r="Q18" s="899"/>
      <c r="R18" s="899"/>
      <c r="S18" s="899"/>
      <c r="T18" s="940"/>
      <c r="U18" s="899"/>
      <c r="V18" s="899"/>
      <c r="Y18" s="897"/>
    </row>
    <row r="19" spans="1:46" s="893" customFormat="1" ht="11.25" customHeight="1">
      <c r="A19" s="932"/>
      <c r="B19" s="933">
        <v>45525</v>
      </c>
      <c r="C19" s="934"/>
      <c r="D19" s="893" t="s">
        <v>182</v>
      </c>
      <c r="E19" s="932" t="s">
        <v>718</v>
      </c>
      <c r="F19" s="932" t="s">
        <v>183</v>
      </c>
      <c r="G19" s="1280">
        <f t="shared" si="0"/>
        <v>4.6937100000000002E-2</v>
      </c>
      <c r="H19" s="969">
        <v>10.3</v>
      </c>
      <c r="I19" s="969">
        <v>45.57</v>
      </c>
      <c r="J19" s="937">
        <v>46752</v>
      </c>
      <c r="K19" s="935" t="s">
        <v>1620</v>
      </c>
      <c r="L19" s="971">
        <v>470</v>
      </c>
      <c r="M19" s="938" t="s">
        <v>1627</v>
      </c>
      <c r="N19" s="968"/>
      <c r="O19" s="968"/>
      <c r="P19" s="971"/>
      <c r="Q19" s="971"/>
      <c r="R19" s="958"/>
      <c r="S19" s="963"/>
      <c r="T19" s="957"/>
      <c r="U19" s="958"/>
      <c r="V19" s="958"/>
      <c r="X19" s="957"/>
      <c r="Y19" s="958"/>
    </row>
    <row r="20" spans="1:46" s="893" customFormat="1" ht="11.25" customHeight="1">
      <c r="A20" s="932"/>
      <c r="B20" s="934">
        <v>45616</v>
      </c>
      <c r="C20" s="934"/>
      <c r="D20" s="893" t="s">
        <v>170</v>
      </c>
      <c r="E20" s="932" t="s">
        <v>551</v>
      </c>
      <c r="F20" s="932" t="s">
        <v>171</v>
      </c>
      <c r="G20" s="1280">
        <f t="shared" si="0"/>
        <v>4.7033999999999999E-2</v>
      </c>
      <c r="H20" s="936">
        <v>9.75</v>
      </c>
      <c r="I20" s="936">
        <v>48.24</v>
      </c>
      <c r="J20" s="943">
        <v>46022</v>
      </c>
      <c r="K20" s="935" t="s">
        <v>1621</v>
      </c>
      <c r="L20" s="971">
        <v>9.7683000000000018</v>
      </c>
      <c r="M20" s="972">
        <v>20</v>
      </c>
      <c r="N20" s="968"/>
      <c r="O20" s="936"/>
      <c r="P20" s="936"/>
      <c r="Q20" s="936"/>
      <c r="R20" s="943"/>
      <c r="S20" s="935"/>
      <c r="T20" s="971"/>
      <c r="U20" s="971"/>
      <c r="V20" s="971"/>
      <c r="W20" s="971"/>
      <c r="X20" s="971"/>
      <c r="Y20" s="958"/>
    </row>
    <row r="21" spans="1:46" s="893" customFormat="1" ht="11.25" customHeight="1">
      <c r="A21" s="932"/>
      <c r="B21" s="804">
        <v>45691</v>
      </c>
      <c r="C21" s="805"/>
      <c r="D21" s="806" t="s">
        <v>1906</v>
      </c>
      <c r="E21" s="806" t="s">
        <v>664</v>
      </c>
      <c r="F21" s="806" t="s">
        <v>157</v>
      </c>
      <c r="G21" s="1280">
        <f t="shared" si="0"/>
        <v>4.73144E-2</v>
      </c>
      <c r="H21" s="808">
        <v>9.8000000000000007</v>
      </c>
      <c r="I21" s="808">
        <v>48.28</v>
      </c>
      <c r="J21" s="816">
        <v>46022</v>
      </c>
      <c r="K21" s="810" t="s">
        <v>1620</v>
      </c>
      <c r="L21" s="811">
        <v>93.972808000000001</v>
      </c>
      <c r="M21" s="811" t="s">
        <v>1627</v>
      </c>
      <c r="N21" s="898"/>
      <c r="O21" s="898"/>
      <c r="P21" s="899"/>
      <c r="Q21" s="942"/>
      <c r="R21" s="899"/>
      <c r="S21" s="899"/>
      <c r="T21" s="940"/>
      <c r="U21" s="899"/>
      <c r="V21" s="899"/>
      <c r="Y21" s="897"/>
    </row>
    <row r="22" spans="1:46" s="893" customFormat="1" ht="11.25" customHeight="1">
      <c r="A22" s="932"/>
      <c r="B22" s="804">
        <v>45741</v>
      </c>
      <c r="C22" s="805"/>
      <c r="D22" s="806" t="s">
        <v>1905</v>
      </c>
      <c r="E22" s="806" t="s">
        <v>1645</v>
      </c>
      <c r="F22" s="806" t="s">
        <v>210</v>
      </c>
      <c r="G22" s="1280">
        <f t="shared" si="0"/>
        <v>4.7320000000000001E-2</v>
      </c>
      <c r="H22" s="808">
        <v>9.1</v>
      </c>
      <c r="I22" s="808">
        <v>52</v>
      </c>
      <c r="J22" s="816">
        <v>44926</v>
      </c>
      <c r="K22" s="810" t="s">
        <v>47</v>
      </c>
      <c r="L22" s="811">
        <v>0.32345600000000002</v>
      </c>
      <c r="M22" s="811" t="s">
        <v>1646</v>
      </c>
      <c r="P22" s="897"/>
      <c r="Q22" s="899"/>
      <c r="R22" s="899"/>
      <c r="S22" s="899"/>
      <c r="T22" s="940"/>
      <c r="U22" s="899"/>
      <c r="V22" s="899"/>
      <c r="Y22" s="897"/>
    </row>
    <row r="23" spans="1:46" s="893" customFormat="1" ht="11.25" customHeight="1">
      <c r="A23" s="932"/>
      <c r="B23" s="933">
        <v>45558</v>
      </c>
      <c r="C23" s="934"/>
      <c r="D23" s="932" t="s">
        <v>221</v>
      </c>
      <c r="E23" s="932" t="s">
        <v>1270</v>
      </c>
      <c r="F23" s="932" t="s">
        <v>223</v>
      </c>
      <c r="G23" s="1280">
        <f t="shared" si="0"/>
        <v>4.7500000000000001E-2</v>
      </c>
      <c r="H23" s="969">
        <v>9.5</v>
      </c>
      <c r="I23" s="969">
        <v>50</v>
      </c>
      <c r="J23" s="937">
        <v>45657</v>
      </c>
      <c r="K23" s="935" t="s">
        <v>47</v>
      </c>
      <c r="L23" s="971">
        <v>6.7317939999999998</v>
      </c>
      <c r="M23" s="938" t="s">
        <v>1290</v>
      </c>
      <c r="N23" s="968"/>
      <c r="O23" s="968"/>
      <c r="P23" s="971"/>
      <c r="Q23" s="971"/>
      <c r="R23" s="958"/>
      <c r="S23" s="963"/>
      <c r="T23" s="957"/>
      <c r="U23" s="958"/>
      <c r="V23" s="958"/>
      <c r="X23" s="957"/>
      <c r="Y23" s="958"/>
    </row>
    <row r="24" spans="1:46" s="893" customFormat="1" ht="11.25" customHeight="1">
      <c r="A24" s="932"/>
      <c r="B24" s="934">
        <v>45645</v>
      </c>
      <c r="C24" s="934"/>
      <c r="D24" s="893" t="s">
        <v>1629</v>
      </c>
      <c r="E24" s="932" t="s">
        <v>1630</v>
      </c>
      <c r="F24" s="932" t="s">
        <v>223</v>
      </c>
      <c r="G24" s="1280">
        <f t="shared" si="0"/>
        <v>4.7500000000000001E-2</v>
      </c>
      <c r="H24" s="936">
        <v>9.5</v>
      </c>
      <c r="I24" s="936">
        <v>50</v>
      </c>
      <c r="J24" s="943">
        <v>46022</v>
      </c>
      <c r="K24" s="935" t="s">
        <v>1620</v>
      </c>
      <c r="L24" s="971">
        <v>139.65299999999999</v>
      </c>
      <c r="M24" s="938" t="s">
        <v>1518</v>
      </c>
      <c r="N24" s="968"/>
      <c r="O24" s="936"/>
      <c r="P24" s="936"/>
      <c r="Q24" s="936"/>
      <c r="R24" s="943"/>
      <c r="S24" s="935"/>
      <c r="T24" s="971"/>
      <c r="U24" s="958"/>
      <c r="V24" s="958"/>
      <c r="X24" s="957"/>
      <c r="Y24" s="958"/>
    </row>
    <row r="25" spans="1:46" s="893" customFormat="1" ht="11.25" customHeight="1">
      <c r="A25" s="932"/>
      <c r="B25" s="934">
        <v>45646</v>
      </c>
      <c r="C25" s="934"/>
      <c r="D25" s="893" t="s">
        <v>31</v>
      </c>
      <c r="E25" s="932" t="s">
        <v>1262</v>
      </c>
      <c r="F25" s="932" t="s">
        <v>1565</v>
      </c>
      <c r="G25" s="1280">
        <f t="shared" si="0"/>
        <v>4.7530000000000003E-2</v>
      </c>
      <c r="H25" s="936">
        <v>9.8000000000000007</v>
      </c>
      <c r="I25" s="936">
        <v>48.5</v>
      </c>
      <c r="J25" s="943">
        <v>45107</v>
      </c>
      <c r="K25" s="935" t="s">
        <v>47</v>
      </c>
      <c r="L25" s="971">
        <v>80.734999999999999</v>
      </c>
      <c r="M25" s="938" t="s">
        <v>1624</v>
      </c>
      <c r="N25" s="968"/>
      <c r="O25" s="936"/>
      <c r="P25" s="936"/>
      <c r="Q25" s="936"/>
      <c r="R25" s="943"/>
      <c r="S25" s="935"/>
      <c r="T25" s="971"/>
      <c r="U25" s="958"/>
      <c r="V25" s="958"/>
      <c r="X25" s="957"/>
      <c r="Y25" s="958"/>
    </row>
    <row r="26" spans="1:46" s="893" customFormat="1" ht="11.25" customHeight="1">
      <c r="A26" s="932"/>
      <c r="B26" s="933">
        <v>45453</v>
      </c>
      <c r="C26" s="934"/>
      <c r="D26" s="932" t="s">
        <v>213</v>
      </c>
      <c r="E26" s="932" t="s">
        <v>760</v>
      </c>
      <c r="F26" s="932" t="s">
        <v>216</v>
      </c>
      <c r="G26" s="1280">
        <f t="shared" si="0"/>
        <v>4.7975000000000004E-2</v>
      </c>
      <c r="H26" s="936">
        <v>9.5</v>
      </c>
      <c r="I26" s="936">
        <v>50.5</v>
      </c>
      <c r="J26" s="943">
        <v>45381</v>
      </c>
      <c r="K26" s="935" t="s">
        <v>47</v>
      </c>
      <c r="L26" s="938">
        <v>44.628999999999998</v>
      </c>
      <c r="M26" s="938" t="s">
        <v>138</v>
      </c>
      <c r="N26" s="898"/>
      <c r="O26" s="896"/>
      <c r="P26" s="936"/>
      <c r="Q26" s="936"/>
      <c r="R26" s="943"/>
      <c r="S26" s="935"/>
      <c r="T26" s="938"/>
      <c r="U26" s="958"/>
      <c r="V26" s="958"/>
      <c r="X26" s="957"/>
      <c r="Y26" s="958"/>
    </row>
    <row r="27" spans="1:46" s="893" customFormat="1" ht="11.25" customHeight="1">
      <c r="A27" s="932"/>
      <c r="B27" s="934">
        <v>45621</v>
      </c>
      <c r="C27" s="934"/>
      <c r="D27" s="893" t="s">
        <v>213</v>
      </c>
      <c r="E27" s="932" t="s">
        <v>760</v>
      </c>
      <c r="F27" s="932" t="s">
        <v>214</v>
      </c>
      <c r="G27" s="1280">
        <f t="shared" si="0"/>
        <v>4.7975000000000004E-2</v>
      </c>
      <c r="H27" s="936">
        <v>9.5</v>
      </c>
      <c r="I27" s="936">
        <v>50.5</v>
      </c>
      <c r="J27" s="943">
        <v>46387</v>
      </c>
      <c r="K27" s="935" t="s">
        <v>47</v>
      </c>
      <c r="L27" s="971">
        <v>123.351</v>
      </c>
      <c r="M27" s="938" t="s">
        <v>1695</v>
      </c>
      <c r="N27" s="968"/>
      <c r="O27" s="936"/>
      <c r="P27" s="936"/>
      <c r="Q27" s="936"/>
      <c r="R27" s="943"/>
      <c r="S27" s="935"/>
      <c r="T27" s="971"/>
      <c r="U27" s="958"/>
      <c r="V27" s="958"/>
      <c r="X27" s="957"/>
      <c r="Y27" s="958"/>
    </row>
    <row r="28" spans="1:46" s="893" customFormat="1" ht="11.25" customHeight="1">
      <c r="A28" s="932"/>
      <c r="B28" s="933">
        <v>45400</v>
      </c>
      <c r="C28" s="934"/>
      <c r="D28" s="932" t="s">
        <v>211</v>
      </c>
      <c r="E28" s="932" t="s">
        <v>760</v>
      </c>
      <c r="F28" s="932" t="s">
        <v>212</v>
      </c>
      <c r="G28" s="1280">
        <f t="shared" si="0"/>
        <v>4.8479999999999995E-2</v>
      </c>
      <c r="H28" s="936">
        <v>9.6</v>
      </c>
      <c r="I28" s="936">
        <v>50.5</v>
      </c>
      <c r="J28" s="943">
        <v>45107</v>
      </c>
      <c r="K28" s="936" t="s">
        <v>1621</v>
      </c>
      <c r="L28" s="938">
        <v>42.25</v>
      </c>
      <c r="M28" s="938" t="s">
        <v>1691</v>
      </c>
      <c r="N28" s="898"/>
      <c r="O28" s="896"/>
      <c r="P28" s="936"/>
      <c r="Q28" s="936"/>
      <c r="R28" s="943"/>
      <c r="S28" s="936"/>
      <c r="T28" s="938"/>
      <c r="U28" s="958"/>
      <c r="V28" s="958"/>
      <c r="X28" s="957"/>
      <c r="Y28" s="958"/>
    </row>
    <row r="29" spans="1:46" s="893" customFormat="1" ht="11.25" customHeight="1">
      <c r="A29" s="902"/>
      <c r="B29" s="804">
        <v>45672</v>
      </c>
      <c r="C29" s="805"/>
      <c r="D29" s="806" t="s">
        <v>164</v>
      </c>
      <c r="E29" s="806" t="s">
        <v>551</v>
      </c>
      <c r="F29" s="806" t="s">
        <v>165</v>
      </c>
      <c r="G29" s="1280">
        <f t="shared" si="0"/>
        <v>4.8563999999999996E-2</v>
      </c>
      <c r="H29" s="808">
        <v>9.5</v>
      </c>
      <c r="I29" s="808">
        <v>51.12</v>
      </c>
      <c r="J29" s="809">
        <v>45169</v>
      </c>
      <c r="K29" s="810" t="s">
        <v>1621</v>
      </c>
      <c r="L29" s="815">
        <v>119.5</v>
      </c>
      <c r="M29" s="811" t="s">
        <v>1622</v>
      </c>
      <c r="N29" s="914"/>
      <c r="O29" s="914"/>
      <c r="P29" s="915"/>
      <c r="Q29" s="916"/>
      <c r="R29" s="916"/>
      <c r="S29" s="917"/>
      <c r="T29" s="916"/>
      <c r="U29" s="916"/>
      <c r="V29" s="916"/>
      <c r="W29" s="918"/>
      <c r="X29" s="918"/>
      <c r="Y29" s="918"/>
      <c r="Z29" s="918"/>
      <c r="AA29" s="902"/>
      <c r="AB29" s="902"/>
      <c r="AC29" s="902"/>
      <c r="AD29" s="902"/>
      <c r="AE29" s="902"/>
      <c r="AF29" s="902"/>
      <c r="AG29" s="902"/>
      <c r="AH29" s="902"/>
      <c r="AI29" s="902"/>
      <c r="AJ29" s="902"/>
      <c r="AK29" s="902"/>
      <c r="AL29" s="902"/>
      <c r="AM29" s="902"/>
      <c r="AN29" s="902"/>
      <c r="AO29" s="902"/>
      <c r="AP29" s="902"/>
      <c r="AQ29" s="902"/>
      <c r="AR29" s="902"/>
      <c r="AS29" s="902"/>
      <c r="AT29" s="902"/>
    </row>
    <row r="30" spans="1:46" s="893" customFormat="1" ht="11.25" customHeight="1">
      <c r="A30" s="932"/>
      <c r="B30" s="933">
        <v>45471</v>
      </c>
      <c r="C30" s="934"/>
      <c r="D30" s="932" t="s">
        <v>1908</v>
      </c>
      <c r="E30" s="932" t="s">
        <v>1694</v>
      </c>
      <c r="F30" s="932" t="s">
        <v>208</v>
      </c>
      <c r="G30" s="1280">
        <f t="shared" si="0"/>
        <v>4.9124399999999999E-2</v>
      </c>
      <c r="H30" s="936">
        <v>9.4</v>
      </c>
      <c r="I30" s="936">
        <v>52.26</v>
      </c>
      <c r="J30" s="943">
        <v>44926</v>
      </c>
      <c r="K30" s="935" t="s">
        <v>1620</v>
      </c>
      <c r="L30" s="938">
        <v>3.8672339999999998</v>
      </c>
      <c r="M30" s="938" t="s">
        <v>1695</v>
      </c>
      <c r="N30" s="898"/>
      <c r="O30" s="896"/>
      <c r="P30" s="936"/>
      <c r="Q30" s="936"/>
      <c r="R30" s="943"/>
      <c r="S30" s="935"/>
      <c r="T30" s="938"/>
      <c r="U30" s="958"/>
      <c r="V30" s="958"/>
      <c r="X30" s="957"/>
      <c r="Y30" s="958"/>
    </row>
    <row r="31" spans="1:46" s="893" customFormat="1" ht="11.25" customHeight="1">
      <c r="A31" s="932"/>
      <c r="B31" s="933">
        <v>45565</v>
      </c>
      <c r="C31" s="934"/>
      <c r="D31" s="932" t="s">
        <v>1706</v>
      </c>
      <c r="E31" s="932" t="s">
        <v>1707</v>
      </c>
      <c r="F31" s="932" t="s">
        <v>208</v>
      </c>
      <c r="G31" s="1280">
        <f t="shared" si="0"/>
        <v>4.9396050000000004E-2</v>
      </c>
      <c r="H31" s="969">
        <v>9.35</v>
      </c>
      <c r="I31" s="969">
        <v>52.83</v>
      </c>
      <c r="J31" s="937">
        <v>45016</v>
      </c>
      <c r="K31" s="935" t="s">
        <v>1620</v>
      </c>
      <c r="L31" s="971">
        <v>90.2</v>
      </c>
      <c r="M31" s="938" t="s">
        <v>1695</v>
      </c>
      <c r="N31" s="968"/>
      <c r="O31" s="968"/>
      <c r="P31" s="973"/>
      <c r="Q31" s="971"/>
      <c r="R31" s="958"/>
      <c r="S31" s="963"/>
      <c r="T31" s="957"/>
      <c r="U31" s="958"/>
      <c r="V31" s="958"/>
      <c r="X31" s="957"/>
      <c r="Y31" s="958"/>
    </row>
    <row r="32" spans="1:46" s="893" customFormat="1" ht="11.25" customHeight="1">
      <c r="A32" s="902"/>
      <c r="B32" s="804">
        <v>45672</v>
      </c>
      <c r="C32" s="805"/>
      <c r="D32" s="806" t="s">
        <v>1623</v>
      </c>
      <c r="E32" s="806" t="s">
        <v>1518</v>
      </c>
      <c r="F32" s="806" t="s">
        <v>1565</v>
      </c>
      <c r="G32" s="1280">
        <f t="shared" si="0"/>
        <v>4.9500000000000002E-2</v>
      </c>
      <c r="H32" s="808">
        <v>9.9</v>
      </c>
      <c r="I32" s="808">
        <v>50</v>
      </c>
      <c r="J32" s="809">
        <v>45107</v>
      </c>
      <c r="K32" s="810" t="s">
        <v>47</v>
      </c>
      <c r="L32" s="815">
        <v>529.91483499999993</v>
      </c>
      <c r="M32" s="811" t="s">
        <v>1624</v>
      </c>
      <c r="N32" s="914"/>
      <c r="O32" s="914"/>
      <c r="P32" s="915"/>
      <c r="Q32" s="916"/>
      <c r="R32" s="916"/>
      <c r="S32" s="917"/>
      <c r="T32" s="916"/>
      <c r="U32" s="916"/>
      <c r="V32" s="916"/>
      <c r="W32" s="918"/>
      <c r="X32" s="918"/>
      <c r="Y32" s="918"/>
      <c r="Z32" s="918"/>
      <c r="AA32" s="902"/>
      <c r="AB32" s="902"/>
      <c r="AC32" s="902"/>
      <c r="AD32" s="902"/>
      <c r="AE32" s="902"/>
      <c r="AF32" s="902"/>
      <c r="AG32" s="902"/>
      <c r="AH32" s="902"/>
      <c r="AI32" s="902"/>
      <c r="AJ32" s="902"/>
      <c r="AK32" s="902"/>
      <c r="AL32" s="902"/>
      <c r="AM32" s="902"/>
      <c r="AN32" s="902"/>
      <c r="AO32" s="902"/>
      <c r="AP32" s="902"/>
      <c r="AQ32" s="902"/>
      <c r="AR32" s="902"/>
      <c r="AS32" s="902"/>
      <c r="AT32" s="902"/>
    </row>
    <row r="33" spans="1:46" s="893" customFormat="1" ht="11.25" customHeight="1">
      <c r="A33" s="932"/>
      <c r="B33" s="933">
        <v>45356</v>
      </c>
      <c r="C33" s="934"/>
      <c r="D33" s="932" t="s">
        <v>1392</v>
      </c>
      <c r="E33" s="932" t="s">
        <v>1039</v>
      </c>
      <c r="F33" s="932" t="s">
        <v>1401</v>
      </c>
      <c r="G33" s="1280">
        <f t="shared" si="0"/>
        <v>4.9593150000000003E-2</v>
      </c>
      <c r="H33" s="936">
        <v>9.5500000000000007</v>
      </c>
      <c r="I33" s="936">
        <v>51.93</v>
      </c>
      <c r="J33" s="937">
        <v>44742</v>
      </c>
      <c r="K33" s="935" t="s">
        <v>1620</v>
      </c>
      <c r="L33" s="938">
        <v>491.678</v>
      </c>
      <c r="M33" s="938"/>
      <c r="N33" s="898"/>
      <c r="O33" s="935"/>
      <c r="P33" s="936"/>
      <c r="Q33" s="936"/>
      <c r="R33" s="937"/>
      <c r="S33" s="935"/>
      <c r="T33" s="938"/>
      <c r="U33" s="899"/>
      <c r="V33" s="945"/>
      <c r="X33" s="940"/>
      <c r="Y33" s="899"/>
      <c r="Z33" s="941"/>
      <c r="AA33" s="942"/>
    </row>
    <row r="34" spans="1:46" s="893" customFormat="1" ht="11.25" customHeight="1">
      <c r="A34" s="932"/>
      <c r="B34" s="933">
        <v>45530</v>
      </c>
      <c r="C34" s="934"/>
      <c r="D34" s="932" t="s">
        <v>1700</v>
      </c>
      <c r="E34" s="932" t="s">
        <v>1518</v>
      </c>
      <c r="F34" s="932" t="s">
        <v>1701</v>
      </c>
      <c r="G34" s="1280">
        <f t="shared" si="0"/>
        <v>4.9660570000000008E-2</v>
      </c>
      <c r="H34" s="969">
        <v>9.9700000000000006</v>
      </c>
      <c r="I34" s="969">
        <v>49.81</v>
      </c>
      <c r="J34" s="937">
        <v>45930</v>
      </c>
      <c r="K34" s="935" t="s">
        <v>47</v>
      </c>
      <c r="L34" s="971">
        <v>38.06</v>
      </c>
      <c r="M34" s="972">
        <v>15</v>
      </c>
      <c r="N34" s="968"/>
      <c r="O34" s="968"/>
      <c r="P34" s="971"/>
      <c r="Q34" s="971"/>
      <c r="R34" s="958"/>
      <c r="S34" s="963"/>
      <c r="T34" s="957"/>
      <c r="U34" s="958"/>
      <c r="V34" s="958"/>
      <c r="X34" s="957"/>
      <c r="Y34" s="958"/>
    </row>
    <row r="35" spans="1:46" s="893" customFormat="1" ht="11.25" customHeight="1">
      <c r="A35" s="932"/>
      <c r="B35" s="933">
        <v>45336</v>
      </c>
      <c r="C35" s="934"/>
      <c r="D35" s="932" t="s">
        <v>1573</v>
      </c>
      <c r="E35" s="932" t="s">
        <v>776</v>
      </c>
      <c r="F35" s="932" t="s">
        <v>176</v>
      </c>
      <c r="G35" s="1280">
        <f t="shared" si="0"/>
        <v>4.9824E-2</v>
      </c>
      <c r="H35" s="936">
        <v>9.6</v>
      </c>
      <c r="I35" s="936">
        <v>51.9</v>
      </c>
      <c r="J35" s="943">
        <v>45107</v>
      </c>
      <c r="K35" s="935" t="s">
        <v>1620</v>
      </c>
      <c r="L35" s="938">
        <v>85</v>
      </c>
      <c r="M35" s="938" t="s">
        <v>1639</v>
      </c>
      <c r="N35" s="898"/>
      <c r="O35" s="935"/>
      <c r="P35" s="936"/>
      <c r="Q35" s="936"/>
      <c r="R35" s="943"/>
      <c r="S35" s="935"/>
      <c r="T35" s="938"/>
      <c r="U35" s="899"/>
      <c r="V35" s="939"/>
      <c r="W35" s="939"/>
      <c r="X35" s="940"/>
      <c r="Y35" s="899"/>
      <c r="Z35" s="941"/>
      <c r="AA35" s="942"/>
    </row>
    <row r="36" spans="1:46" s="893" customFormat="1" ht="11.25" customHeight="1">
      <c r="A36" s="932"/>
      <c r="B36" s="933">
        <v>45552</v>
      </c>
      <c r="C36" s="934"/>
      <c r="D36" s="932" t="s">
        <v>1702</v>
      </c>
      <c r="E36" s="932" t="s">
        <v>909</v>
      </c>
      <c r="F36" s="932" t="s">
        <v>145</v>
      </c>
      <c r="G36" s="1280">
        <f t="shared" si="0"/>
        <v>5.0336999999999993E-2</v>
      </c>
      <c r="H36" s="969">
        <v>9.8699999999999992</v>
      </c>
      <c r="I36" s="969">
        <v>51</v>
      </c>
      <c r="J36" s="937">
        <v>45930</v>
      </c>
      <c r="K36" s="935" t="s">
        <v>47</v>
      </c>
      <c r="L36" s="971">
        <v>185</v>
      </c>
      <c r="M36" s="938" t="s">
        <v>1290</v>
      </c>
      <c r="N36" s="968"/>
      <c r="O36" s="968"/>
      <c r="P36" s="971"/>
      <c r="Q36" s="971"/>
      <c r="R36" s="958"/>
      <c r="S36" s="963"/>
      <c r="T36" s="957"/>
      <c r="U36" s="958"/>
      <c r="V36" s="958"/>
      <c r="X36" s="957"/>
      <c r="Y36" s="958"/>
    </row>
    <row r="37" spans="1:46" s="902" customFormat="1" ht="10.5">
      <c r="A37" s="932"/>
      <c r="B37" s="934">
        <v>45622</v>
      </c>
      <c r="C37" s="934"/>
      <c r="D37" s="893" t="s">
        <v>1688</v>
      </c>
      <c r="E37" s="932" t="s">
        <v>1273</v>
      </c>
      <c r="F37" s="932" t="s">
        <v>165</v>
      </c>
      <c r="G37" s="1280">
        <f t="shared" si="0"/>
        <v>5.0825000000000002E-2</v>
      </c>
      <c r="H37" s="936">
        <v>9.5</v>
      </c>
      <c r="I37" s="936">
        <v>53.5</v>
      </c>
      <c r="J37" s="943">
        <v>45199</v>
      </c>
      <c r="K37" s="935" t="s">
        <v>1621</v>
      </c>
      <c r="L37" s="971">
        <v>126.66</v>
      </c>
      <c r="M37" s="938" t="s">
        <v>1622</v>
      </c>
      <c r="N37" s="968"/>
      <c r="O37" s="936"/>
      <c r="P37" s="936"/>
      <c r="Q37" s="936"/>
      <c r="R37" s="943"/>
      <c r="S37" s="935"/>
      <c r="T37" s="971"/>
      <c r="U37" s="958"/>
      <c r="V37" s="958"/>
      <c r="W37" s="893"/>
      <c r="X37" s="957"/>
      <c r="Y37" s="958"/>
      <c r="Z37" s="893"/>
      <c r="AA37" s="893"/>
      <c r="AB37" s="893"/>
      <c r="AC37" s="893"/>
      <c r="AD37" s="893"/>
      <c r="AE37" s="893"/>
      <c r="AF37" s="893"/>
      <c r="AG37" s="893"/>
      <c r="AH37" s="893"/>
      <c r="AI37" s="893"/>
      <c r="AJ37" s="893"/>
      <c r="AK37" s="893"/>
      <c r="AL37" s="893"/>
      <c r="AM37" s="893"/>
      <c r="AN37" s="893"/>
      <c r="AO37" s="893"/>
      <c r="AP37" s="893"/>
      <c r="AQ37" s="893"/>
      <c r="AR37" s="893"/>
      <c r="AS37" s="893"/>
      <c r="AT37" s="893"/>
    </row>
    <row r="38" spans="1:46" s="902" customFormat="1" ht="10.5">
      <c r="A38" s="932"/>
      <c r="B38" s="934">
        <v>45463</v>
      </c>
      <c r="C38" s="934"/>
      <c r="D38" s="893" t="s">
        <v>186</v>
      </c>
      <c r="E38" s="932" t="s">
        <v>718</v>
      </c>
      <c r="F38" s="932" t="s">
        <v>190</v>
      </c>
      <c r="G38" s="1280">
        <f t="shared" si="0"/>
        <v>5.0902739999999988E-2</v>
      </c>
      <c r="H38" s="936">
        <v>9.94</v>
      </c>
      <c r="I38" s="936">
        <v>51.21</v>
      </c>
      <c r="J38" s="943">
        <v>44926</v>
      </c>
      <c r="K38" s="935" t="s">
        <v>1620</v>
      </c>
      <c r="L38" s="971">
        <v>233.84700000000001</v>
      </c>
      <c r="M38" s="938" t="s">
        <v>1627</v>
      </c>
      <c r="N38" s="968"/>
      <c r="O38" s="936"/>
      <c r="P38" s="936"/>
      <c r="Q38" s="936"/>
      <c r="R38" s="943"/>
      <c r="S38" s="935"/>
      <c r="T38" s="971"/>
      <c r="U38" s="958"/>
      <c r="V38" s="958"/>
      <c r="W38" s="893"/>
      <c r="X38" s="957"/>
      <c r="Y38" s="958"/>
      <c r="Z38" s="893"/>
      <c r="AA38" s="893"/>
      <c r="AB38" s="893"/>
      <c r="AC38" s="893"/>
      <c r="AD38" s="893"/>
      <c r="AE38" s="893"/>
      <c r="AF38" s="893"/>
      <c r="AG38" s="893"/>
      <c r="AH38" s="893"/>
      <c r="AI38" s="893"/>
      <c r="AJ38" s="893"/>
      <c r="AK38" s="893"/>
      <c r="AL38" s="893"/>
      <c r="AM38" s="893"/>
      <c r="AN38" s="893"/>
      <c r="AO38" s="893"/>
      <c r="AP38" s="893"/>
      <c r="AQ38" s="893"/>
      <c r="AR38" s="893"/>
      <c r="AS38" s="893"/>
      <c r="AT38" s="893"/>
    </row>
    <row r="39" spans="1:46" s="902" customFormat="1" ht="10.5">
      <c r="A39" s="932"/>
      <c r="B39" s="934">
        <v>45553</v>
      </c>
      <c r="C39" s="934"/>
      <c r="D39" s="893" t="s">
        <v>1703</v>
      </c>
      <c r="E39" s="932" t="s">
        <v>1630</v>
      </c>
      <c r="F39" s="932" t="s">
        <v>1704</v>
      </c>
      <c r="G39" s="1280">
        <f t="shared" si="0"/>
        <v>5.1037600000000002E-2</v>
      </c>
      <c r="H39" s="936">
        <v>9.74</v>
      </c>
      <c r="I39" s="936">
        <v>52.4</v>
      </c>
      <c r="J39" s="943">
        <v>45199</v>
      </c>
      <c r="K39" s="935" t="s">
        <v>1620</v>
      </c>
      <c r="L39" s="971">
        <v>40.299999999999997</v>
      </c>
      <c r="M39" s="938">
        <v>16</v>
      </c>
      <c r="N39" s="968"/>
      <c r="O39" s="936"/>
      <c r="P39" s="936"/>
      <c r="Q39" s="936"/>
      <c r="R39" s="943"/>
      <c r="S39" s="935"/>
      <c r="T39" s="971"/>
      <c r="U39" s="958"/>
      <c r="V39" s="958"/>
      <c r="W39" s="893"/>
      <c r="X39" s="957"/>
      <c r="Y39" s="958"/>
      <c r="Z39" s="893"/>
      <c r="AA39" s="893"/>
      <c r="AB39" s="893"/>
      <c r="AC39" s="893"/>
      <c r="AD39" s="893"/>
      <c r="AE39" s="893"/>
      <c r="AF39" s="893"/>
      <c r="AG39" s="893"/>
      <c r="AH39" s="893"/>
      <c r="AI39" s="893"/>
      <c r="AJ39" s="893"/>
      <c r="AK39" s="893"/>
      <c r="AL39" s="893"/>
      <c r="AM39" s="893"/>
      <c r="AN39" s="893"/>
      <c r="AO39" s="893"/>
      <c r="AP39" s="893"/>
      <c r="AQ39" s="893"/>
      <c r="AR39" s="893"/>
      <c r="AS39" s="893"/>
      <c r="AT39" s="893"/>
    </row>
    <row r="40" spans="1:46" s="902" customFormat="1" ht="10.5">
      <c r="A40" s="932"/>
      <c r="B40" s="934">
        <v>45589</v>
      </c>
      <c r="C40" s="934"/>
      <c r="D40" s="893" t="s">
        <v>1911</v>
      </c>
      <c r="E40" s="932" t="s">
        <v>1260</v>
      </c>
      <c r="F40" s="932" t="s">
        <v>142</v>
      </c>
      <c r="G40" s="1280">
        <f t="shared" si="0"/>
        <v>5.1833999999999998E-2</v>
      </c>
      <c r="H40" s="936">
        <v>9.7799999999999994</v>
      </c>
      <c r="I40" s="936">
        <v>53</v>
      </c>
      <c r="J40" s="943">
        <v>45657</v>
      </c>
      <c r="K40" s="935" t="s">
        <v>47</v>
      </c>
      <c r="L40" s="971">
        <v>89.168082999999996</v>
      </c>
      <c r="M40" s="938" t="s">
        <v>1622</v>
      </c>
      <c r="N40" s="968"/>
      <c r="O40" s="936"/>
      <c r="P40" s="936"/>
      <c r="Q40" s="936"/>
      <c r="R40" s="943"/>
      <c r="S40" s="935"/>
      <c r="T40" s="971"/>
      <c r="U40" s="958"/>
      <c r="V40" s="958"/>
      <c r="W40" s="893"/>
      <c r="X40" s="957"/>
      <c r="Y40" s="958"/>
      <c r="Z40" s="893"/>
      <c r="AA40" s="893"/>
      <c r="AB40" s="893"/>
      <c r="AC40" s="893"/>
      <c r="AD40" s="893"/>
      <c r="AE40" s="893"/>
      <c r="AF40" s="893"/>
      <c r="AG40" s="893"/>
      <c r="AH40" s="893"/>
      <c r="AI40" s="893"/>
      <c r="AJ40" s="893"/>
      <c r="AK40" s="893"/>
      <c r="AL40" s="893"/>
      <c r="AM40" s="893"/>
      <c r="AN40" s="893"/>
      <c r="AO40" s="893"/>
      <c r="AP40" s="893"/>
      <c r="AQ40" s="893"/>
      <c r="AR40" s="893"/>
      <c r="AS40" s="893"/>
      <c r="AT40" s="893"/>
    </row>
    <row r="41" spans="1:46" s="902" customFormat="1" ht="10.5">
      <c r="A41" s="932"/>
      <c r="B41" s="934">
        <v>45512</v>
      </c>
      <c r="C41" s="934"/>
      <c r="D41" s="893" t="s">
        <v>1387</v>
      </c>
      <c r="E41" s="932" t="s">
        <v>138</v>
      </c>
      <c r="F41" s="932" t="s">
        <v>190</v>
      </c>
      <c r="G41" s="1280">
        <f t="shared" si="0"/>
        <v>5.2194939999999995E-2</v>
      </c>
      <c r="H41" s="936">
        <v>9.94</v>
      </c>
      <c r="I41" s="936">
        <v>52.51</v>
      </c>
      <c r="J41" s="943">
        <v>45199</v>
      </c>
      <c r="K41" s="935" t="s">
        <v>1620</v>
      </c>
      <c r="L41" s="971">
        <v>219.47</v>
      </c>
      <c r="M41" s="938" t="s">
        <v>1290</v>
      </c>
      <c r="N41" s="968"/>
      <c r="O41" s="936"/>
      <c r="P41" s="936"/>
      <c r="Q41" s="936"/>
      <c r="R41" s="943"/>
      <c r="S41" s="935"/>
      <c r="T41" s="971"/>
      <c r="U41" s="958"/>
      <c r="V41" s="958"/>
      <c r="W41" s="893"/>
      <c r="X41" s="957"/>
      <c r="Y41" s="958"/>
      <c r="Z41" s="893"/>
      <c r="AA41" s="893"/>
      <c r="AB41" s="893"/>
      <c r="AC41" s="893"/>
      <c r="AD41" s="893"/>
      <c r="AE41" s="893"/>
      <c r="AF41" s="893"/>
      <c r="AG41" s="893"/>
      <c r="AH41" s="893"/>
      <c r="AI41" s="893"/>
      <c r="AJ41" s="893"/>
      <c r="AK41" s="893"/>
      <c r="AL41" s="893"/>
      <c r="AM41" s="893"/>
      <c r="AN41" s="893"/>
      <c r="AO41" s="893"/>
      <c r="AP41" s="893"/>
      <c r="AQ41" s="893"/>
      <c r="AR41" s="893"/>
      <c r="AS41" s="893"/>
      <c r="AT41" s="893"/>
    </row>
    <row r="42" spans="1:46" s="893" customFormat="1" ht="11.25" customHeight="1">
      <c r="A42" s="932"/>
      <c r="B42" s="804">
        <v>45671</v>
      </c>
      <c r="C42" s="805"/>
      <c r="D42" s="806" t="s">
        <v>1619</v>
      </c>
      <c r="E42" s="806" t="s">
        <v>138</v>
      </c>
      <c r="F42" s="806" t="s">
        <v>187</v>
      </c>
      <c r="G42" s="1280">
        <f t="shared" si="0"/>
        <v>5.2237499999999999E-2</v>
      </c>
      <c r="H42" s="808">
        <v>9.9499999999999993</v>
      </c>
      <c r="I42" s="808">
        <v>52.5</v>
      </c>
      <c r="J42" s="809">
        <v>45291</v>
      </c>
      <c r="K42" s="810" t="s">
        <v>1620</v>
      </c>
      <c r="L42" s="811">
        <v>36.835000000000001</v>
      </c>
      <c r="M42" s="811" t="s">
        <v>1290</v>
      </c>
      <c r="N42" s="898"/>
      <c r="O42" s="898"/>
      <c r="P42" s="899"/>
      <c r="Q42" s="958"/>
      <c r="R42" s="958"/>
      <c r="S42" s="963"/>
      <c r="T42" s="957"/>
      <c r="U42" s="958"/>
      <c r="V42" s="958"/>
      <c r="Y42" s="897"/>
    </row>
    <row r="43" spans="1:46" s="893" customFormat="1" ht="11.25" customHeight="1">
      <c r="A43" s="932"/>
      <c r="B43" s="933">
        <v>45321</v>
      </c>
      <c r="C43" s="934"/>
      <c r="D43" s="932" t="s">
        <v>1687</v>
      </c>
      <c r="E43" s="932" t="s">
        <v>1265</v>
      </c>
      <c r="F43" s="932" t="s">
        <v>1401</v>
      </c>
      <c r="G43" s="1280">
        <f t="shared" si="0"/>
        <v>5.2377E-2</v>
      </c>
      <c r="H43" s="936">
        <v>9.75</v>
      </c>
      <c r="I43" s="936">
        <v>53.72</v>
      </c>
      <c r="J43" s="937">
        <v>44742</v>
      </c>
      <c r="K43" s="935" t="s">
        <v>1620</v>
      </c>
      <c r="L43" s="938">
        <v>9.7636719999999997</v>
      </c>
      <c r="M43" s="938" t="s">
        <v>1518</v>
      </c>
      <c r="N43" s="898"/>
      <c r="O43" s="935"/>
      <c r="P43" s="936"/>
      <c r="Q43" s="936"/>
      <c r="R43" s="937"/>
      <c r="S43" s="935"/>
      <c r="T43" s="938"/>
      <c r="U43" s="899"/>
      <c r="V43" s="939"/>
      <c r="W43" s="939"/>
      <c r="X43" s="940"/>
      <c r="Y43" s="899"/>
      <c r="Z43" s="941"/>
      <c r="AA43" s="942"/>
    </row>
    <row r="44" spans="1:46" s="893" customFormat="1" ht="11.25" customHeight="1">
      <c r="A44" s="932"/>
      <c r="B44" s="934">
        <v>45574</v>
      </c>
      <c r="C44" s="934"/>
      <c r="D44" s="893" t="s">
        <v>1909</v>
      </c>
      <c r="E44" s="932" t="s">
        <v>1016</v>
      </c>
      <c r="F44" s="932" t="s">
        <v>176</v>
      </c>
      <c r="G44" s="1280">
        <f t="shared" si="0"/>
        <v>5.28E-2</v>
      </c>
      <c r="H44" s="969">
        <v>9.6</v>
      </c>
      <c r="I44" s="936">
        <v>55</v>
      </c>
      <c r="J44" s="937">
        <v>45443</v>
      </c>
      <c r="K44" s="935" t="s">
        <v>1620</v>
      </c>
      <c r="L44" s="971">
        <v>440.5</v>
      </c>
      <c r="M44" s="938" t="s">
        <v>1639</v>
      </c>
      <c r="N44" s="968"/>
      <c r="O44" s="936"/>
      <c r="P44" s="969"/>
      <c r="Q44" s="936"/>
      <c r="R44" s="937"/>
      <c r="S44" s="935"/>
      <c r="T44" s="971"/>
      <c r="U44" s="958"/>
      <c r="V44" s="958"/>
      <c r="X44" s="957"/>
      <c r="Y44" s="958"/>
    </row>
    <row r="45" spans="1:46" s="893" customFormat="1" ht="11.25" customHeight="1">
      <c r="A45" s="932"/>
      <c r="B45" s="934">
        <v>45645</v>
      </c>
      <c r="C45" s="934"/>
      <c r="D45" s="893" t="s">
        <v>231</v>
      </c>
      <c r="E45" s="932" t="s">
        <v>1183</v>
      </c>
      <c r="F45" s="932" t="s">
        <v>147</v>
      </c>
      <c r="G45" s="1280">
        <f t="shared" si="0"/>
        <v>5.3086600000000005E-2</v>
      </c>
      <c r="H45" s="936">
        <v>9.8000000000000007</v>
      </c>
      <c r="I45" s="936">
        <v>54.17</v>
      </c>
      <c r="J45" s="943">
        <v>46387</v>
      </c>
      <c r="K45" s="935" t="s">
        <v>47</v>
      </c>
      <c r="L45" s="971">
        <v>85.094999999999999</v>
      </c>
      <c r="M45" s="938" t="s">
        <v>1624</v>
      </c>
      <c r="N45" s="968"/>
      <c r="O45" s="936"/>
      <c r="P45" s="936"/>
      <c r="Q45" s="936"/>
      <c r="R45" s="943"/>
      <c r="S45" s="935"/>
      <c r="T45" s="971"/>
      <c r="U45" s="958"/>
      <c r="V45" s="958"/>
      <c r="X45" s="957"/>
      <c r="Y45" s="958"/>
    </row>
    <row r="46" spans="1:46" s="893" customFormat="1" ht="11.25" customHeight="1">
      <c r="A46" s="932"/>
      <c r="B46" s="934">
        <v>45656</v>
      </c>
      <c r="C46" s="934"/>
      <c r="D46" s="893" t="s">
        <v>1390</v>
      </c>
      <c r="E46" s="932" t="s">
        <v>1274</v>
      </c>
      <c r="F46" s="932" t="s">
        <v>236</v>
      </c>
      <c r="G46" s="1280">
        <f t="shared" si="0"/>
        <v>5.4034999999999993E-2</v>
      </c>
      <c r="H46" s="936">
        <v>10.1</v>
      </c>
      <c r="I46" s="936">
        <v>53.5</v>
      </c>
      <c r="J46" s="943">
        <v>45657</v>
      </c>
      <c r="K46" s="935" t="s">
        <v>47</v>
      </c>
      <c r="L46" s="971">
        <v>36.444215999999997</v>
      </c>
      <c r="M46" s="938" t="s">
        <v>1622</v>
      </c>
      <c r="N46" s="968"/>
      <c r="O46" s="936"/>
      <c r="P46" s="936"/>
      <c r="Q46" s="936"/>
      <c r="R46" s="943"/>
      <c r="S46" s="935"/>
      <c r="T46" s="971"/>
      <c r="U46" s="958"/>
      <c r="V46" s="958"/>
      <c r="X46" s="957"/>
      <c r="Y46" s="958"/>
    </row>
    <row r="47" spans="1:46" s="893" customFormat="1" ht="11.25" customHeight="1">
      <c r="A47" s="932"/>
      <c r="B47" s="934">
        <v>45645</v>
      </c>
      <c r="C47" s="934"/>
      <c r="D47" s="893" t="s">
        <v>230</v>
      </c>
      <c r="E47" s="932" t="s">
        <v>1183</v>
      </c>
      <c r="F47" s="932" t="s">
        <v>147</v>
      </c>
      <c r="G47" s="1280">
        <f t="shared" si="0"/>
        <v>5.5409199999999999E-2</v>
      </c>
      <c r="H47" s="936">
        <v>9.8000000000000007</v>
      </c>
      <c r="I47" s="936">
        <v>56.54</v>
      </c>
      <c r="J47" s="943">
        <v>46387</v>
      </c>
      <c r="K47" s="935" t="s">
        <v>47</v>
      </c>
      <c r="L47" s="971">
        <v>313.50700000000001</v>
      </c>
      <c r="M47" s="938" t="s">
        <v>1624</v>
      </c>
      <c r="N47" s="968"/>
      <c r="O47" s="936"/>
      <c r="P47" s="936"/>
      <c r="Q47" s="936"/>
      <c r="R47" s="943"/>
      <c r="S47" s="935"/>
      <c r="T47" s="971"/>
      <c r="U47" s="958"/>
      <c r="V47" s="958"/>
      <c r="X47" s="957"/>
      <c r="Y47" s="958"/>
    </row>
    <row r="48" spans="1:46" s="893" customFormat="1" ht="11.25" customHeight="1">
      <c r="B48" s="804">
        <v>45673</v>
      </c>
      <c r="C48" s="805"/>
      <c r="D48" s="806" t="s">
        <v>1910</v>
      </c>
      <c r="E48" s="806" t="s">
        <v>1626</v>
      </c>
      <c r="F48" s="806" t="s">
        <v>228</v>
      </c>
      <c r="G48" s="1280">
        <f t="shared" si="0"/>
        <v>5.7000000000000002E-2</v>
      </c>
      <c r="H48" s="808">
        <v>10</v>
      </c>
      <c r="I48" s="808">
        <v>57</v>
      </c>
      <c r="J48" s="809">
        <v>46387</v>
      </c>
      <c r="K48" s="810" t="s">
        <v>47</v>
      </c>
      <c r="L48" s="815">
        <v>13.094773999999999</v>
      </c>
      <c r="M48" s="811" t="s">
        <v>1627</v>
      </c>
      <c r="N48" s="898"/>
      <c r="O48" s="898"/>
      <c r="P48" s="899"/>
      <c r="Q48" s="942"/>
      <c r="R48" s="935"/>
      <c r="S48" s="936"/>
      <c r="T48" s="987"/>
      <c r="U48" s="988"/>
      <c r="V48" s="957"/>
      <c r="Y48" s="897"/>
    </row>
    <row r="49" spans="1:25" s="893" customFormat="1" ht="11.25" customHeight="1">
      <c r="A49" s="932"/>
      <c r="B49" s="985"/>
      <c r="C49" s="985"/>
      <c r="D49" s="985"/>
      <c r="E49" s="985"/>
      <c r="F49" s="985"/>
      <c r="G49" s="961"/>
      <c r="H49" s="961"/>
      <c r="I49" s="950"/>
      <c r="J49" s="965"/>
      <c r="K49" s="962"/>
      <c r="L49" s="970"/>
      <c r="M49" s="955"/>
      <c r="P49" s="897"/>
      <c r="R49" s="899"/>
      <c r="S49" s="899"/>
      <c r="T49" s="940"/>
      <c r="U49" s="899"/>
      <c r="V49" s="899"/>
      <c r="Y49" s="897"/>
    </row>
    <row r="50" spans="1:25" ht="11.25" customHeight="1">
      <c r="B50" s="897"/>
      <c r="C50" s="893"/>
      <c r="D50" s="893"/>
      <c r="E50" s="893"/>
      <c r="F50" s="893"/>
      <c r="G50" s="893"/>
      <c r="H50" s="893"/>
      <c r="I50" s="893"/>
      <c r="J50" s="893"/>
      <c r="K50" s="893"/>
      <c r="L50" s="893"/>
      <c r="M50" s="893"/>
    </row>
    <row r="51" spans="1:25" ht="11.25" customHeight="1">
      <c r="B51" s="899"/>
      <c r="C51" s="893"/>
      <c r="D51" s="893"/>
      <c r="E51" s="893"/>
      <c r="F51" s="893"/>
      <c r="G51" s="893"/>
      <c r="H51" s="893"/>
      <c r="I51" s="893"/>
      <c r="J51" s="893"/>
      <c r="K51" s="893"/>
      <c r="L51" s="893"/>
      <c r="M51" s="899"/>
    </row>
    <row r="52" spans="1:25" ht="11.25" customHeight="1">
      <c r="B52" s="899"/>
      <c r="C52" s="893"/>
      <c r="D52" s="893"/>
      <c r="E52" s="893"/>
      <c r="F52" s="893"/>
      <c r="G52" s="893"/>
      <c r="H52" s="893"/>
      <c r="I52" s="893"/>
      <c r="J52" s="893"/>
      <c r="K52" s="893"/>
      <c r="L52" s="893"/>
      <c r="M52" s="899"/>
    </row>
    <row r="53" spans="1:25" ht="11.25" customHeight="1">
      <c r="B53" s="899"/>
      <c r="C53" s="893"/>
      <c r="D53" s="893"/>
      <c r="E53" s="893"/>
      <c r="F53" s="893"/>
      <c r="G53" s="893"/>
      <c r="H53" s="893"/>
      <c r="I53" s="893"/>
      <c r="J53" s="893"/>
      <c r="K53" s="893"/>
      <c r="L53" s="893"/>
      <c r="M53" s="899"/>
    </row>
    <row r="54" spans="1:25" ht="11.25" customHeight="1">
      <c r="B54" s="899"/>
      <c r="C54" s="893"/>
      <c r="D54" s="893"/>
      <c r="E54" s="893"/>
      <c r="F54" s="893"/>
      <c r="G54" s="893"/>
      <c r="H54" s="893"/>
      <c r="I54" s="893"/>
      <c r="J54" s="893"/>
      <c r="K54" s="893"/>
      <c r="L54" s="893"/>
      <c r="M54" s="899"/>
    </row>
    <row r="55" spans="1:25" ht="11.25" customHeight="1">
      <c r="B55" s="899"/>
      <c r="C55" s="893"/>
      <c r="D55" s="1282"/>
      <c r="E55" s="893"/>
      <c r="F55" s="893"/>
      <c r="G55" s="893"/>
      <c r="H55" s="893"/>
      <c r="I55" s="893"/>
      <c r="J55" s="893"/>
      <c r="K55" s="893"/>
      <c r="L55" s="893"/>
      <c r="M55" s="899"/>
    </row>
    <row r="56" spans="1:25" ht="11.25" customHeight="1">
      <c r="B56" s="897" t="s">
        <v>467</v>
      </c>
      <c r="C56" s="893"/>
      <c r="D56" s="1284"/>
      <c r="E56" s="1285">
        <v>0.46129999999999999</v>
      </c>
      <c r="F56" s="893"/>
      <c r="G56" s="893"/>
      <c r="H56" s="893"/>
      <c r="I56" s="893"/>
      <c r="J56" s="893"/>
      <c r="K56" s="893"/>
      <c r="L56" s="893"/>
      <c r="M56" s="893"/>
    </row>
    <row r="57" spans="1:25" ht="11.25" customHeight="1">
      <c r="B57" s="897"/>
      <c r="C57" s="893"/>
      <c r="D57" s="1283"/>
      <c r="E57" s="893"/>
      <c r="F57" s="893"/>
      <c r="G57" s="893"/>
      <c r="H57" s="893"/>
      <c r="I57" s="893"/>
      <c r="J57" s="893"/>
      <c r="K57" s="893"/>
      <c r="L57" s="893"/>
      <c r="M57" s="893"/>
    </row>
    <row r="58" spans="1:25" ht="11.25" customHeight="1">
      <c r="B58" s="897" t="s">
        <v>1912</v>
      </c>
      <c r="E58" s="1286">
        <v>0.1</v>
      </c>
    </row>
    <row r="59" spans="1:25" ht="11.25" customHeight="1">
      <c r="B59" s="897"/>
    </row>
    <row r="60" spans="1:25" ht="11.25" customHeight="1">
      <c r="B60" s="932" t="s">
        <v>1902</v>
      </c>
      <c r="E60" s="1280">
        <f>E56*E58</f>
        <v>4.6130000000000004E-2</v>
      </c>
    </row>
  </sheetData>
  <sortState xmlns:xlrd2="http://schemas.microsoft.com/office/spreadsheetml/2017/richdata2" ref="A5:AT48">
    <sortCondition ref="G5:G48"/>
  </sortState>
  <pageMargins left="0.2" right="0.2" top="0.75" bottom="0.75" header="0.3" footer="0.3"/>
  <pageSetup scale="26"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9"/>
  <dimension ref="A1:Q38"/>
  <sheetViews>
    <sheetView view="pageBreakPreview" zoomScaleNormal="100" workbookViewId="0"/>
  </sheetViews>
  <sheetFormatPr defaultColWidth="9.26953125" defaultRowHeight="15.5"/>
  <cols>
    <col min="1" max="1" width="3.453125" style="4" customWidth="1"/>
    <col min="2" max="2" width="24.54296875" style="4" customWidth="1"/>
    <col min="3" max="3" width="2.54296875" style="4" customWidth="1"/>
    <col min="4" max="4" width="10.26953125" style="180" customWidth="1"/>
    <col min="5" max="5" width="10.26953125" style="180" bestFit="1" customWidth="1"/>
    <col min="6" max="6" width="10.26953125" style="4" customWidth="1"/>
    <col min="7" max="7" width="1.7265625" style="4" customWidth="1"/>
    <col min="8" max="9" width="10.26953125" style="180" customWidth="1"/>
    <col min="10" max="10" width="10.26953125" style="4" customWidth="1"/>
    <col min="11" max="12" width="3.453125" style="4" customWidth="1"/>
    <col min="13" max="13" width="10.453125" style="4" bestFit="1" customWidth="1"/>
    <col min="14" max="14" width="11.7265625" style="4" bestFit="1" customWidth="1"/>
    <col min="15" max="15" width="9.7265625" style="4" bestFit="1" customWidth="1"/>
    <col min="16" max="17" width="11.7265625" style="4" bestFit="1" customWidth="1"/>
    <col min="18" max="18" width="9.26953125" style="4"/>
    <col min="19" max="19" width="11.7265625" style="4" bestFit="1" customWidth="1"/>
    <col min="20" max="16384" width="9.26953125" style="4"/>
  </cols>
  <sheetData>
    <row r="1" spans="1:17">
      <c r="A1" s="7" t="str">
        <f>'Exhibit List'!C7</f>
        <v>CAPITAL STRUCTURE</v>
      </c>
      <c r="F1" s="188"/>
      <c r="K1" s="188" t="str">
        <f>'Exhibit List'!B7</f>
        <v>Exhibit AMM-4</v>
      </c>
      <c r="L1" s="188"/>
    </row>
    <row r="2" spans="1:17">
      <c r="B2" s="91"/>
      <c r="F2" s="188"/>
      <c r="K2" s="188" t="s">
        <v>251</v>
      </c>
      <c r="L2" s="188"/>
      <c r="M2" s="217"/>
    </row>
    <row r="3" spans="1:17">
      <c r="A3" s="15" t="str">
        <f>'Exhibit List'!D7</f>
        <v>UTILITY GROUP</v>
      </c>
      <c r="D3" s="646"/>
    </row>
    <row r="4" spans="1:17">
      <c r="A4" s="15"/>
      <c r="K4" s="188"/>
    </row>
    <row r="5" spans="1:17">
      <c r="A5" s="15"/>
    </row>
    <row r="6" spans="1:17">
      <c r="B6" s="245"/>
      <c r="C6" s="245"/>
      <c r="D6" s="1447" t="s">
        <v>1379</v>
      </c>
      <c r="E6" s="1447"/>
      <c r="F6" s="1447"/>
      <c r="G6" s="245"/>
      <c r="H6" s="1447" t="s">
        <v>454</v>
      </c>
      <c r="I6" s="1447"/>
      <c r="J6" s="1447"/>
      <c r="M6" s="1446" t="s">
        <v>1378</v>
      </c>
      <c r="N6" s="1446"/>
      <c r="O6" s="1446"/>
      <c r="P6" s="1446"/>
      <c r="Q6" s="1446"/>
    </row>
    <row r="7" spans="1:17">
      <c r="B7" s="245"/>
      <c r="C7" s="245"/>
      <c r="D7" s="246"/>
      <c r="E7" s="246"/>
      <c r="F7" s="246" t="s">
        <v>455</v>
      </c>
      <c r="G7" s="246"/>
      <c r="H7" s="246"/>
      <c r="I7" s="246"/>
      <c r="J7" s="246" t="s">
        <v>455</v>
      </c>
      <c r="M7" s="226" t="s">
        <v>456</v>
      </c>
      <c r="N7" s="226" t="s">
        <v>457</v>
      </c>
      <c r="O7" s="226"/>
      <c r="P7" s="226" t="s">
        <v>455</v>
      </c>
    </row>
    <row r="8" spans="1:17">
      <c r="B8" s="189" t="s">
        <v>78</v>
      </c>
      <c r="C8" s="245"/>
      <c r="D8" s="191" t="s">
        <v>458</v>
      </c>
      <c r="E8" s="191" t="s">
        <v>459</v>
      </c>
      <c r="F8" s="191" t="s">
        <v>278</v>
      </c>
      <c r="G8" s="246"/>
      <c r="H8" s="191" t="s">
        <v>458</v>
      </c>
      <c r="I8" s="191" t="s">
        <v>459</v>
      </c>
      <c r="J8" s="191" t="s">
        <v>278</v>
      </c>
      <c r="M8" s="181" t="s">
        <v>460</v>
      </c>
      <c r="N8" s="181" t="s">
        <v>458</v>
      </c>
      <c r="O8" s="181" t="s">
        <v>459</v>
      </c>
      <c r="P8" s="181" t="s">
        <v>461</v>
      </c>
      <c r="Q8" s="181" t="s">
        <v>1</v>
      </c>
    </row>
    <row r="9" spans="1:17">
      <c r="A9" s="162">
        <f t="shared" ref="A9:A28" si="0">A8+1</f>
        <v>1</v>
      </c>
      <c r="B9" s="13" t="str">
        <f>'Proxy Group Ticker'!C3</f>
        <v>Alliant Energy</v>
      </c>
      <c r="C9" s="247"/>
      <c r="D9" s="179">
        <f>SUM(M9,N9)/Q9</f>
        <v>0.58438167576548783</v>
      </c>
      <c r="E9" s="179">
        <f>O9/$Q9</f>
        <v>0</v>
      </c>
      <c r="F9" s="179">
        <f>P9/$Q9</f>
        <v>0.41561832423451223</v>
      </c>
      <c r="H9" s="18">
        <f>VLOOKUP('Proxy Group Ticker'!$B3,vldatabase,13,FALSE)</f>
        <v>0.52</v>
      </c>
      <c r="I9" s="18">
        <f>VLOOKUP('Proxy Group Ticker'!$B3,vldatabase,13,FALSE)</f>
        <v>0.52</v>
      </c>
      <c r="J9" s="18">
        <f>VLOOKUP('Proxy Group Ticker'!$B3,vldatabase,15,FALSE)</f>
        <v>0.48</v>
      </c>
      <c r="M9" s="248">
        <v>1171</v>
      </c>
      <c r="N9" s="248">
        <v>8677</v>
      </c>
      <c r="O9" s="248">
        <v>0</v>
      </c>
      <c r="P9" s="249">
        <v>7004</v>
      </c>
      <c r="Q9" s="250">
        <f t="shared" ref="Q9:Q28" si="1">SUM(M9:P9)</f>
        <v>16852</v>
      </c>
    </row>
    <row r="10" spans="1:17">
      <c r="A10" s="162">
        <f t="shared" si="0"/>
        <v>2</v>
      </c>
      <c r="B10" s="13" t="str">
        <f>'Proxy Group Ticker'!C4</f>
        <v>American Elec Pwr</v>
      </c>
      <c r="C10" s="247"/>
      <c r="D10" s="179">
        <f t="shared" ref="D10:D28" si="2">SUM(M10,N10)/Q10</f>
        <v>0.61242960896983878</v>
      </c>
      <c r="E10" s="179">
        <f t="shared" ref="E10:E28" si="3">O10/$Q10</f>
        <v>0</v>
      </c>
      <c r="F10" s="179">
        <f t="shared" ref="F10:F28" si="4">P10/$Q10</f>
        <v>0.38757039103016133</v>
      </c>
      <c r="H10" s="18">
        <f>VLOOKUP('Proxy Group Ticker'!$B4,vldatabase,13,FALSE)</f>
        <v>0.57499999999999996</v>
      </c>
      <c r="I10" s="18">
        <f>VLOOKUP('Proxy Group Ticker'!$B4,vldatabase,13,FALSE)</f>
        <v>0.57499999999999996</v>
      </c>
      <c r="J10" s="18">
        <f>VLOOKUP('Proxy Group Ticker'!$B4,vldatabase,15,FALSE)</f>
        <v>0.42499999999999999</v>
      </c>
      <c r="M10" s="248">
        <v>3335</v>
      </c>
      <c r="N10" s="248">
        <v>39307.800000000003</v>
      </c>
      <c r="O10" s="248">
        <v>0</v>
      </c>
      <c r="P10" s="249">
        <v>26986.1</v>
      </c>
      <c r="Q10" s="250">
        <f t="shared" si="1"/>
        <v>69628.899999999994</v>
      </c>
    </row>
    <row r="11" spans="1:17">
      <c r="A11" s="162">
        <f t="shared" si="0"/>
        <v>3</v>
      </c>
      <c r="B11" s="13" t="str">
        <f>'Proxy Group Ticker'!C5</f>
        <v>Avista Corp.</v>
      </c>
      <c r="C11" s="247"/>
      <c r="D11" s="179">
        <f t="shared" si="2"/>
        <v>0.50713334601483739</v>
      </c>
      <c r="E11" s="179">
        <f t="shared" si="3"/>
        <v>0</v>
      </c>
      <c r="F11" s="179">
        <f t="shared" si="4"/>
        <v>0.49286665398516266</v>
      </c>
      <c r="H11" s="18">
        <f>VLOOKUP('Proxy Group Ticker'!$B5,vldatabase,13,FALSE)</f>
        <v>0.46500000000000002</v>
      </c>
      <c r="I11" s="18">
        <f>VLOOKUP('Proxy Group Ticker'!$B5,vldatabase,13,FALSE)</f>
        <v>0.46500000000000002</v>
      </c>
      <c r="J11" s="18">
        <f>VLOOKUP('Proxy Group Ticker'!$B5,vldatabase,15,FALSE)</f>
        <v>0.53500000000000003</v>
      </c>
      <c r="M11" s="248">
        <v>0</v>
      </c>
      <c r="N11" s="248">
        <v>2666</v>
      </c>
      <c r="O11" s="248">
        <v>0</v>
      </c>
      <c r="P11" s="249">
        <v>2591</v>
      </c>
      <c r="Q11" s="250">
        <f t="shared" si="1"/>
        <v>5257</v>
      </c>
    </row>
    <row r="12" spans="1:17">
      <c r="A12" s="162">
        <f t="shared" si="0"/>
        <v>4</v>
      </c>
      <c r="B12" s="13" t="str">
        <f>'Proxy Group Ticker'!C6</f>
        <v>Black Hills Corp.</v>
      </c>
      <c r="C12" s="247"/>
      <c r="D12" s="179">
        <f t="shared" si="2"/>
        <v>0.54243561273196006</v>
      </c>
      <c r="E12" s="179">
        <f t="shared" si="3"/>
        <v>0</v>
      </c>
      <c r="F12" s="179">
        <f t="shared" si="4"/>
        <v>0.45756438726803994</v>
      </c>
      <c r="H12" s="18">
        <f>VLOOKUP('Proxy Group Ticker'!$B6,vldatabase,13,FALSE)</f>
        <v>0.55500000000000005</v>
      </c>
      <c r="I12" s="18">
        <f>VLOOKUP('Proxy Group Ticker'!$B6,vldatabase,13,FALSE)</f>
        <v>0.55500000000000005</v>
      </c>
      <c r="J12" s="18">
        <f>VLOOKUP('Proxy Group Ticker'!$B6,vldatabase,15,FALSE)</f>
        <v>0.44500000000000001</v>
      </c>
      <c r="M12" s="248">
        <v>0</v>
      </c>
      <c r="N12" s="248">
        <v>4250.2</v>
      </c>
      <c r="O12" s="248">
        <v>0</v>
      </c>
      <c r="P12" s="249">
        <v>3585.2</v>
      </c>
      <c r="Q12" s="250">
        <f t="shared" si="1"/>
        <v>7835.4</v>
      </c>
    </row>
    <row r="13" spans="1:17">
      <c r="A13" s="162">
        <f t="shared" si="0"/>
        <v>5</v>
      </c>
      <c r="B13" s="13" t="str">
        <f>'Proxy Group Ticker'!C7</f>
        <v>CenterPoint Energy</v>
      </c>
      <c r="C13" s="247"/>
      <c r="D13" s="179">
        <f t="shared" si="2"/>
        <v>0.65733928743534553</v>
      </c>
      <c r="E13" s="179">
        <f t="shared" si="3"/>
        <v>0</v>
      </c>
      <c r="F13" s="179">
        <f t="shared" si="4"/>
        <v>0.34266071256465447</v>
      </c>
      <c r="H13" s="18">
        <f>VLOOKUP('Proxy Group Ticker'!$B7,vldatabase,13,FALSE)</f>
        <v>0.59</v>
      </c>
      <c r="I13" s="18">
        <f>VLOOKUP('Proxy Group Ticker'!$B7,vldatabase,13,FALSE)</f>
        <v>0.59</v>
      </c>
      <c r="J13" s="18">
        <f>VLOOKUP('Proxy Group Ticker'!$B7,vldatabase,15,FALSE)</f>
        <v>0.41</v>
      </c>
      <c r="M13" s="248">
        <v>64</v>
      </c>
      <c r="N13" s="248">
        <v>20397</v>
      </c>
      <c r="O13" s="248">
        <v>0</v>
      </c>
      <c r="P13" s="249">
        <v>10666</v>
      </c>
      <c r="Q13" s="250">
        <f t="shared" si="1"/>
        <v>31127</v>
      </c>
    </row>
    <row r="14" spans="1:17">
      <c r="A14" s="162">
        <f t="shared" si="0"/>
        <v>6</v>
      </c>
      <c r="B14" s="13" t="str">
        <f>'Proxy Group Ticker'!C8</f>
        <v>CMS Energy Corp.</v>
      </c>
      <c r="C14" s="247"/>
      <c r="D14" s="179">
        <f t="shared" si="2"/>
        <v>0.65353083290427338</v>
      </c>
      <c r="E14" s="179">
        <f t="shared" si="3"/>
        <v>8.8716384807319103E-3</v>
      </c>
      <c r="F14" s="179">
        <f t="shared" si="4"/>
        <v>0.33759752861499465</v>
      </c>
      <c r="H14" s="18">
        <f>VLOOKUP('Proxy Group Ticker'!$B8,vldatabase,13,FALSE)</f>
        <v>0.61499999999999999</v>
      </c>
      <c r="I14" s="18">
        <f>VLOOKUP('Proxy Group Ticker'!$B8,vldatabase,13,FALSE)</f>
        <v>0.61499999999999999</v>
      </c>
      <c r="J14" s="18">
        <f>VLOOKUP('Proxy Group Ticker'!$B8,vldatabase,15,FALSE)</f>
        <v>0.375</v>
      </c>
      <c r="M14" s="248">
        <v>1195</v>
      </c>
      <c r="N14" s="248">
        <v>15306</v>
      </c>
      <c r="O14" s="248">
        <v>224</v>
      </c>
      <c r="P14" s="249">
        <v>8524</v>
      </c>
      <c r="Q14" s="250">
        <f t="shared" si="1"/>
        <v>25249</v>
      </c>
    </row>
    <row r="15" spans="1:17">
      <c r="A15" s="162">
        <f t="shared" si="0"/>
        <v>7</v>
      </c>
      <c r="B15" s="13" t="str">
        <f>'Proxy Group Ticker'!C9</f>
        <v>Dominion Energy</v>
      </c>
      <c r="C15" s="247"/>
      <c r="D15" s="179">
        <f t="shared" si="2"/>
        <v>0.56521989574033005</v>
      </c>
      <c r="E15" s="179">
        <f t="shared" si="3"/>
        <v>1.4270902335762219E-2</v>
      </c>
      <c r="F15" s="179">
        <f t="shared" si="4"/>
        <v>0.42050920192390773</v>
      </c>
      <c r="H15" s="18">
        <f>VLOOKUP('Proxy Group Ticker'!$B9,vldatabase,13,FALSE)</f>
        <v>0.6</v>
      </c>
      <c r="I15" s="18">
        <f>VLOOKUP('Proxy Group Ticker'!$B9,vldatabase,13,FALSE)</f>
        <v>0.6</v>
      </c>
      <c r="J15" s="18">
        <f>VLOOKUP('Proxy Group Ticker'!$B9,vldatabase,15,FALSE)</f>
        <v>0.39</v>
      </c>
      <c r="M15" s="248">
        <v>1725</v>
      </c>
      <c r="N15" s="248">
        <v>37525</v>
      </c>
      <c r="O15" s="248">
        <v>991</v>
      </c>
      <c r="P15" s="249">
        <v>29201</v>
      </c>
      <c r="Q15" s="250">
        <f t="shared" si="1"/>
        <v>69442</v>
      </c>
    </row>
    <row r="16" spans="1:17">
      <c r="A16" s="162">
        <f t="shared" si="0"/>
        <v>8</v>
      </c>
      <c r="B16" s="13" t="str">
        <f>'Proxy Group Ticker'!C10</f>
        <v>DTE Energy Co.</v>
      </c>
      <c r="C16" s="247"/>
      <c r="D16" s="179">
        <f t="shared" si="2"/>
        <v>0.65259720985455627</v>
      </c>
      <c r="E16" s="179">
        <f t="shared" si="3"/>
        <v>0</v>
      </c>
      <c r="F16" s="179">
        <f t="shared" si="4"/>
        <v>0.34740279014544373</v>
      </c>
      <c r="H16" s="18">
        <f>VLOOKUP('Proxy Group Ticker'!$B10,vldatabase,13,FALSE)</f>
        <v>0.61</v>
      </c>
      <c r="I16" s="18">
        <f>VLOOKUP('Proxy Group Ticker'!$B10,vldatabase,13,FALSE)</f>
        <v>0.61</v>
      </c>
      <c r="J16" s="18">
        <f>VLOOKUP('Proxy Group Ticker'!$B10,vldatabase,15,FALSE)</f>
        <v>0.39</v>
      </c>
      <c r="M16" s="248">
        <v>1296</v>
      </c>
      <c r="N16" s="248">
        <v>20690</v>
      </c>
      <c r="O16" s="248">
        <v>0</v>
      </c>
      <c r="P16" s="249">
        <v>11704</v>
      </c>
      <c r="Q16" s="250">
        <f t="shared" si="1"/>
        <v>33690</v>
      </c>
    </row>
    <row r="17" spans="1:17">
      <c r="A17" s="162">
        <f t="shared" si="0"/>
        <v>9</v>
      </c>
      <c r="B17" s="13" t="str">
        <f>'Proxy Group Ticker'!C11</f>
        <v>Duke Energy Corp.</v>
      </c>
      <c r="C17" s="247"/>
      <c r="D17" s="179">
        <f t="shared" si="2"/>
        <v>0.61153510932585542</v>
      </c>
      <c r="E17" s="179">
        <f t="shared" si="3"/>
        <v>7.3742847398537269E-3</v>
      </c>
      <c r="F17" s="179">
        <f t="shared" si="4"/>
        <v>0.38109060593429078</v>
      </c>
      <c r="H17" s="18">
        <f>VLOOKUP('Proxy Group Ticker'!$B11,vldatabase,13,FALSE)</f>
        <v>0.61</v>
      </c>
      <c r="I17" s="18">
        <f>VLOOKUP('Proxy Group Ticker'!$B11,vldatabase,13,FALSE)</f>
        <v>0.61</v>
      </c>
      <c r="J17" s="18">
        <f>VLOOKUP('Proxy Group Ticker'!$B11,vldatabase,15,FALSE)</f>
        <v>0.38</v>
      </c>
      <c r="M17" s="248">
        <v>4349</v>
      </c>
      <c r="N17" s="248">
        <v>76340</v>
      </c>
      <c r="O17" s="248">
        <v>973</v>
      </c>
      <c r="P17" s="249">
        <v>50283</v>
      </c>
      <c r="Q17" s="250">
        <f t="shared" si="1"/>
        <v>131945</v>
      </c>
    </row>
    <row r="18" spans="1:17">
      <c r="A18" s="162">
        <f t="shared" si="0"/>
        <v>10</v>
      </c>
      <c r="B18" s="13" t="str">
        <f>'Proxy Group Ticker'!C12</f>
        <v>Edison International</v>
      </c>
      <c r="C18" s="247"/>
      <c r="D18" s="179">
        <f t="shared" si="2"/>
        <v>0.66731054141739965</v>
      </c>
      <c r="E18" s="179">
        <f t="shared" si="3"/>
        <v>3.0849727134632333E-2</v>
      </c>
      <c r="F18" s="179">
        <f t="shared" si="4"/>
        <v>0.30183973144796805</v>
      </c>
      <c r="H18" s="18">
        <f>VLOOKUP('Proxy Group Ticker'!$B12,vldatabase,13,FALSE)</f>
        <v>0.65</v>
      </c>
      <c r="I18" s="18">
        <f>VLOOKUP('Proxy Group Ticker'!$B12,vldatabase,13,FALSE)</f>
        <v>0.65</v>
      </c>
      <c r="J18" s="18">
        <f>VLOOKUP('Proxy Group Ticker'!$B12,vldatabase,15,FALSE)</f>
        <v>0.28999999999999998</v>
      </c>
      <c r="M18" s="248">
        <v>2049</v>
      </c>
      <c r="N18" s="248">
        <v>33534</v>
      </c>
      <c r="O18" s="248">
        <v>1645</v>
      </c>
      <c r="P18" s="249">
        <v>16095</v>
      </c>
      <c r="Q18" s="250">
        <f t="shared" si="1"/>
        <v>53323</v>
      </c>
    </row>
    <row r="19" spans="1:17">
      <c r="A19" s="162">
        <f t="shared" si="0"/>
        <v>11</v>
      </c>
      <c r="B19" s="13" t="str">
        <f>'Proxy Group Ticker'!C13</f>
        <v>Entergy Corp.</v>
      </c>
      <c r="C19" s="247"/>
      <c r="D19" s="179">
        <f t="shared" si="2"/>
        <v>0.64502723972945974</v>
      </c>
      <c r="E19" s="179">
        <f t="shared" si="3"/>
        <v>5.0559972259187364E-3</v>
      </c>
      <c r="F19" s="179">
        <f t="shared" si="4"/>
        <v>0.34991676304462144</v>
      </c>
      <c r="H19" s="18">
        <f>VLOOKUP('Proxy Group Ticker'!$B13,vldatabase,13,FALSE)</f>
        <v>0.63500000000000001</v>
      </c>
      <c r="I19" s="18">
        <f>VLOOKUP('Proxy Group Ticker'!$B13,vldatabase,13,FALSE)</f>
        <v>0.63500000000000001</v>
      </c>
      <c r="J19" s="18">
        <f>VLOOKUP('Proxy Group Ticker'!$B13,vldatabase,15,FALSE)</f>
        <v>0.36499999999999999</v>
      </c>
      <c r="M19" s="248">
        <v>1378.09</v>
      </c>
      <c r="N19" s="248">
        <v>26613.505000000001</v>
      </c>
      <c r="O19" s="248">
        <v>219.41</v>
      </c>
      <c r="P19" s="249">
        <v>15184.983999999999</v>
      </c>
      <c r="Q19" s="250">
        <f t="shared" si="1"/>
        <v>43395.989000000001</v>
      </c>
    </row>
    <row r="20" spans="1:17">
      <c r="A20" s="162">
        <f t="shared" si="0"/>
        <v>12</v>
      </c>
      <c r="B20" s="13" t="str">
        <f>'Proxy Group Ticker'!C14</f>
        <v>Evergy Inc.</v>
      </c>
      <c r="C20" s="247"/>
      <c r="D20" s="179">
        <f t="shared" si="2"/>
        <v>0.55504875256680375</v>
      </c>
      <c r="E20" s="179">
        <f t="shared" si="3"/>
        <v>0</v>
      </c>
      <c r="F20" s="179">
        <f t="shared" si="4"/>
        <v>0.44495124743319625</v>
      </c>
      <c r="H20" s="18">
        <f>VLOOKUP('Proxy Group Ticker'!$B14,vldatabase,13,FALSE)</f>
        <v>0.53500000000000003</v>
      </c>
      <c r="I20" s="18">
        <f>VLOOKUP('Proxy Group Ticker'!$B14,vldatabase,13,FALSE)</f>
        <v>0.53500000000000003</v>
      </c>
      <c r="J20" s="18">
        <f>VLOOKUP('Proxy Group Ticker'!$B14,vldatabase,15,FALSE)</f>
        <v>0.46500000000000002</v>
      </c>
      <c r="M20" s="248">
        <v>651.70000000000005</v>
      </c>
      <c r="N20" s="248">
        <v>11809.2</v>
      </c>
      <c r="O20" s="248">
        <v>0</v>
      </c>
      <c r="P20" s="249">
        <v>9989.2000000000007</v>
      </c>
      <c r="Q20" s="250">
        <f t="shared" si="1"/>
        <v>22450.100000000002</v>
      </c>
    </row>
    <row r="21" spans="1:17">
      <c r="A21" s="162">
        <f t="shared" si="0"/>
        <v>13</v>
      </c>
      <c r="B21" s="13" t="str">
        <f>'Proxy Group Ticker'!C15</f>
        <v>Eversource Energy</v>
      </c>
      <c r="C21" s="247"/>
      <c r="D21" s="179">
        <f t="shared" si="2"/>
        <v>0.64050086433832298</v>
      </c>
      <c r="E21" s="179">
        <f t="shared" si="3"/>
        <v>0</v>
      </c>
      <c r="F21" s="179">
        <f t="shared" si="4"/>
        <v>0.35949913566167696</v>
      </c>
      <c r="H21" s="18">
        <f>VLOOKUP('Proxy Group Ticker'!$B15,vldatabase,13,FALSE)</f>
        <v>0.62</v>
      </c>
      <c r="I21" s="18">
        <f>VLOOKUP('Proxy Group Ticker'!$B15,vldatabase,13,FALSE)</f>
        <v>0.62</v>
      </c>
      <c r="J21" s="18">
        <f>VLOOKUP('Proxy Group Ticker'!$B15,vldatabase,15,FALSE)</f>
        <v>0.375</v>
      </c>
      <c r="M21" s="248">
        <v>1046.3599999999999</v>
      </c>
      <c r="N21" s="248">
        <v>26025.699000000001</v>
      </c>
      <c r="O21" s="248">
        <v>0</v>
      </c>
      <c r="P21" s="249">
        <v>15194.955</v>
      </c>
      <c r="Q21" s="250">
        <f t="shared" si="1"/>
        <v>42267.014000000003</v>
      </c>
    </row>
    <row r="22" spans="1:17">
      <c r="A22" s="162">
        <f t="shared" si="0"/>
        <v>14</v>
      </c>
      <c r="B22" s="13" t="str">
        <f>'Proxy Group Ticker'!C16</f>
        <v>FirstEnergy Corp.</v>
      </c>
      <c r="C22" s="247"/>
      <c r="D22" s="179">
        <f t="shared" si="2"/>
        <v>0.63111338155029173</v>
      </c>
      <c r="E22" s="179">
        <f t="shared" si="3"/>
        <v>0</v>
      </c>
      <c r="F22" s="179">
        <f t="shared" si="4"/>
        <v>0.36888661844970827</v>
      </c>
      <c r="H22" s="18">
        <f>VLOOKUP('Proxy Group Ticker'!$B16,vldatabase,13,FALSE)</f>
        <v>0.65</v>
      </c>
      <c r="I22" s="18">
        <f>VLOOKUP('Proxy Group Ticker'!$B16,vldatabase,13,FALSE)</f>
        <v>0.65</v>
      </c>
      <c r="J22" s="18">
        <f>VLOOKUP('Proxy Group Ticker'!$B16,vldatabase,15,FALSE)</f>
        <v>0.35</v>
      </c>
      <c r="M22" s="248">
        <v>977</v>
      </c>
      <c r="N22" s="248">
        <v>22496</v>
      </c>
      <c r="O22" s="248">
        <v>0</v>
      </c>
      <c r="P22" s="249">
        <v>13720</v>
      </c>
      <c r="Q22" s="250">
        <f t="shared" si="1"/>
        <v>37193</v>
      </c>
    </row>
    <row r="23" spans="1:17">
      <c r="A23" s="162">
        <f t="shared" si="0"/>
        <v>15</v>
      </c>
      <c r="B23" s="13" t="str">
        <f>'Proxy Group Ticker'!C17</f>
        <v>IDACORP, Inc.</v>
      </c>
      <c r="C23" s="247"/>
      <c r="D23" s="179">
        <f t="shared" si="2"/>
        <v>0.47938952061547035</v>
      </c>
      <c r="E23" s="179">
        <f t="shared" si="3"/>
        <v>0</v>
      </c>
      <c r="F23" s="179">
        <f t="shared" si="4"/>
        <v>0.52061047938452976</v>
      </c>
      <c r="H23" s="18">
        <f>VLOOKUP('Proxy Group Ticker'!$B17,vldatabase,13,FALSE)</f>
        <v>0.43</v>
      </c>
      <c r="I23" s="18">
        <f>VLOOKUP('Proxy Group Ticker'!$B17,vldatabase,13,FALSE)</f>
        <v>0.43</v>
      </c>
      <c r="J23" s="18">
        <f>VLOOKUP('Proxy Group Ticker'!$B17,vldatabase,15,FALSE)</f>
        <v>0.56999999999999995</v>
      </c>
      <c r="M23" s="248">
        <v>19.885000000000002</v>
      </c>
      <c r="N23" s="248">
        <v>3053.777</v>
      </c>
      <c r="O23" s="248">
        <v>0</v>
      </c>
      <c r="P23" s="249">
        <v>3337.9550000000004</v>
      </c>
      <c r="Q23" s="250">
        <f t="shared" si="1"/>
        <v>6411.6170000000002</v>
      </c>
    </row>
    <row r="24" spans="1:17">
      <c r="A24" s="162">
        <f t="shared" si="0"/>
        <v>16</v>
      </c>
      <c r="B24" s="13" t="str">
        <f>'Proxy Group Ticker'!C18</f>
        <v>NorthWestern Energy Grp.</v>
      </c>
      <c r="C24" s="247"/>
      <c r="D24" s="179">
        <f t="shared" si="2"/>
        <v>0.51220919375657803</v>
      </c>
      <c r="E24" s="179">
        <f t="shared" si="3"/>
        <v>0</v>
      </c>
      <c r="F24" s="179">
        <f t="shared" si="4"/>
        <v>0.48779080624342191</v>
      </c>
      <c r="H24" s="18">
        <f>VLOOKUP('Proxy Group Ticker'!$B18,vldatabase,13,FALSE)</f>
        <v>0.505</v>
      </c>
      <c r="I24" s="18">
        <f>VLOOKUP('Proxy Group Ticker'!$B18,vldatabase,13,FALSE)</f>
        <v>0.505</v>
      </c>
      <c r="J24" s="18">
        <f>VLOOKUP('Proxy Group Ticker'!$B18,vldatabase,15,FALSE)</f>
        <v>0.495</v>
      </c>
      <c r="M24" s="248">
        <v>303.54599999999999</v>
      </c>
      <c r="N24" s="248">
        <v>2697.2079999999996</v>
      </c>
      <c r="O24" s="248">
        <v>0</v>
      </c>
      <c r="P24" s="249">
        <v>2857.7</v>
      </c>
      <c r="Q24" s="250">
        <f t="shared" si="1"/>
        <v>5858.4539999999997</v>
      </c>
    </row>
    <row r="25" spans="1:17">
      <c r="A25" s="162">
        <f t="shared" si="0"/>
        <v>17</v>
      </c>
      <c r="B25" s="13" t="str">
        <f>'Proxy Group Ticker'!C19</f>
        <v>Otter Tail Corp.</v>
      </c>
      <c r="C25" s="247"/>
      <c r="D25" s="179">
        <f t="shared" si="2"/>
        <v>0.36127481736889472</v>
      </c>
      <c r="E25" s="179">
        <f t="shared" si="3"/>
        <v>0</v>
      </c>
      <c r="F25" s="179">
        <f t="shared" si="4"/>
        <v>0.63872518263110523</v>
      </c>
      <c r="H25" s="18">
        <f>VLOOKUP('Proxy Group Ticker'!$B19,vldatabase,13,FALSE)</f>
        <v>0.42499999999999999</v>
      </c>
      <c r="I25" s="18">
        <f>VLOOKUP('Proxy Group Ticker'!$B19,vldatabase,13,FALSE)</f>
        <v>0.42499999999999999</v>
      </c>
      <c r="J25" s="18">
        <f>VLOOKUP('Proxy Group Ticker'!$B19,vldatabase,15,FALSE)</f>
        <v>0.57499999999999996</v>
      </c>
      <c r="M25" s="248">
        <v>0</v>
      </c>
      <c r="N25" s="248">
        <v>943.73400000000004</v>
      </c>
      <c r="O25" s="248">
        <v>0</v>
      </c>
      <c r="P25" s="249">
        <v>1668.499</v>
      </c>
      <c r="Q25" s="250">
        <f t="shared" si="1"/>
        <v>2612.2330000000002</v>
      </c>
    </row>
    <row r="26" spans="1:17">
      <c r="A26" s="162">
        <f t="shared" si="0"/>
        <v>18</v>
      </c>
      <c r="B26" s="13" t="str">
        <f>'Proxy Group Ticker'!C20</f>
        <v>Pinnacle West Capital</v>
      </c>
      <c r="C26" s="247"/>
      <c r="D26" s="179">
        <f t="shared" si="2"/>
        <v>0.56366613502589635</v>
      </c>
      <c r="E26" s="179">
        <f t="shared" si="3"/>
        <v>0</v>
      </c>
      <c r="F26" s="179">
        <f t="shared" si="4"/>
        <v>0.43633386497410365</v>
      </c>
      <c r="H26" s="18">
        <f>VLOOKUP('Proxy Group Ticker'!$B20,vldatabase,13,FALSE)</f>
        <v>0.55000000000000004</v>
      </c>
      <c r="I26" s="18">
        <f>VLOOKUP('Proxy Group Ticker'!$B20,vldatabase,13,FALSE)</f>
        <v>0.55000000000000004</v>
      </c>
      <c r="J26" s="18">
        <f>VLOOKUP('Proxy Group Ticker'!$B20,vldatabase,15,FALSE)</f>
        <v>0.45</v>
      </c>
      <c r="M26" s="248">
        <v>800</v>
      </c>
      <c r="N26" s="248">
        <v>8058.6480000000001</v>
      </c>
      <c r="O26" s="248">
        <v>0</v>
      </c>
      <c r="P26" s="249">
        <v>6857.4780000000001</v>
      </c>
      <c r="Q26" s="250">
        <f t="shared" si="1"/>
        <v>15716.126</v>
      </c>
    </row>
    <row r="27" spans="1:17">
      <c r="A27" s="162">
        <f t="shared" si="0"/>
        <v>19</v>
      </c>
      <c r="B27" s="13" t="str">
        <f>'Proxy Group Ticker'!C21</f>
        <v>Pub Sv Enterprise Grp.</v>
      </c>
      <c r="C27" s="247"/>
      <c r="D27" s="179">
        <f t="shared" si="2"/>
        <v>0.56669708518975792</v>
      </c>
      <c r="E27" s="179">
        <f t="shared" si="3"/>
        <v>0</v>
      </c>
      <c r="F27" s="179">
        <f t="shared" si="4"/>
        <v>0.43330291481024208</v>
      </c>
      <c r="H27" s="18">
        <f>VLOOKUP('Proxy Group Ticker'!$B21,vldatabase,13,FALSE)</f>
        <v>0.56000000000000005</v>
      </c>
      <c r="I27" s="18">
        <f>VLOOKUP('Proxy Group Ticker'!$B21,vldatabase,13,FALSE)</f>
        <v>0.56000000000000005</v>
      </c>
      <c r="J27" s="18">
        <f>VLOOKUP('Proxy Group Ticker'!$B21,vldatabase,15,FALSE)</f>
        <v>0.44</v>
      </c>
      <c r="M27" s="248">
        <v>2150</v>
      </c>
      <c r="N27" s="248">
        <v>18964</v>
      </c>
      <c r="O27" s="248">
        <v>0</v>
      </c>
      <c r="P27" s="249">
        <v>16144</v>
      </c>
      <c r="Q27" s="250">
        <f t="shared" si="1"/>
        <v>37258</v>
      </c>
    </row>
    <row r="28" spans="1:17">
      <c r="A28" s="162">
        <f t="shared" si="0"/>
        <v>20</v>
      </c>
      <c r="B28" s="13" t="str">
        <f>'Proxy Group Ticker'!C22</f>
        <v>Sempra</v>
      </c>
      <c r="C28" s="247"/>
      <c r="D28" s="179">
        <f t="shared" si="2"/>
        <v>0.47238201619659315</v>
      </c>
      <c r="E28" s="179">
        <f t="shared" si="3"/>
        <v>1.2691985478916503E-2</v>
      </c>
      <c r="F28" s="179">
        <f t="shared" si="4"/>
        <v>0.51492599832449037</v>
      </c>
      <c r="H28" s="18">
        <f>VLOOKUP('Proxy Group Ticker'!$B22,vldatabase,13,FALSE)</f>
        <v>0.54</v>
      </c>
      <c r="I28" s="18">
        <f>VLOOKUP('Proxy Group Ticker'!$B22,vldatabase,13,FALSE)</f>
        <v>0.54</v>
      </c>
      <c r="J28" s="18">
        <f>VLOOKUP('Proxy Group Ticker'!$B22,vldatabase,15,FALSE)</f>
        <v>0.45</v>
      </c>
      <c r="M28" s="248">
        <v>2274</v>
      </c>
      <c r="N28" s="248">
        <v>31558</v>
      </c>
      <c r="O28" s="248">
        <v>909</v>
      </c>
      <c r="P28" s="249">
        <v>36879</v>
      </c>
      <c r="Q28" s="250">
        <f t="shared" si="1"/>
        <v>71620</v>
      </c>
    </row>
    <row r="29" spans="1:17">
      <c r="A29" s="162"/>
      <c r="B29" s="13"/>
      <c r="C29" s="247"/>
      <c r="D29" s="179"/>
      <c r="E29" s="179"/>
      <c r="F29" s="179"/>
      <c r="H29" s="18"/>
      <c r="I29" s="18"/>
      <c r="J29" s="18"/>
      <c r="M29" s="251"/>
      <c r="N29" s="251"/>
      <c r="O29" s="251"/>
      <c r="P29" s="252"/>
      <c r="Q29" s="250"/>
    </row>
    <row r="30" spans="1:17" ht="7.15" customHeight="1" thickBot="1">
      <c r="A30" s="162"/>
      <c r="B30" s="13"/>
      <c r="C30" s="247"/>
      <c r="D30" s="179"/>
      <c r="E30" s="179"/>
      <c r="F30" s="179"/>
      <c r="H30" s="18"/>
      <c r="I30" s="18"/>
      <c r="J30" s="18"/>
      <c r="K30" s="18"/>
      <c r="L30" s="18"/>
      <c r="M30" s="253"/>
      <c r="N30" s="253"/>
      <c r="O30" s="253"/>
      <c r="P30" s="253"/>
      <c r="Q30" s="250"/>
    </row>
    <row r="31" spans="1:17">
      <c r="A31" s="162"/>
      <c r="B31" s="254" t="s">
        <v>462</v>
      </c>
      <c r="C31" s="255"/>
      <c r="D31" s="256">
        <f>MIN(D9:D28)</f>
        <v>0.36127481736889472</v>
      </c>
      <c r="E31" s="256">
        <f>MIN(E9:E28)</f>
        <v>0</v>
      </c>
      <c r="F31" s="256">
        <f>MIN(F9:F28)</f>
        <v>0.30183973144796805</v>
      </c>
      <c r="G31" s="256"/>
      <c r="H31" s="256">
        <f>MIN(H9:H28)</f>
        <v>0.42499999999999999</v>
      </c>
      <c r="I31" s="256">
        <f>MIN(I9:I28)</f>
        <v>0.42499999999999999</v>
      </c>
      <c r="J31" s="257">
        <f>MIN(J9:J28)</f>
        <v>0.28999999999999998</v>
      </c>
      <c r="K31" s="18"/>
      <c r="L31" s="18"/>
      <c r="M31" s="253"/>
      <c r="N31" s="253"/>
      <c r="O31" s="253"/>
      <c r="P31" s="253"/>
      <c r="Q31" s="250"/>
    </row>
    <row r="32" spans="1:17">
      <c r="A32" s="162"/>
      <c r="B32" s="258" t="s">
        <v>463</v>
      </c>
      <c r="C32" s="247"/>
      <c r="D32" s="203">
        <f>MAX(D9:D28)</f>
        <v>0.66731054141739965</v>
      </c>
      <c r="E32" s="203">
        <f>MAX(E9:E28)</f>
        <v>3.0849727134632333E-2</v>
      </c>
      <c r="F32" s="203">
        <f>MAX(F9:F28)</f>
        <v>0.63872518263110523</v>
      </c>
      <c r="G32" s="203"/>
      <c r="H32" s="203">
        <f>MAX(H9:H28)</f>
        <v>0.65</v>
      </c>
      <c r="I32" s="203">
        <f>MAX(I9:I28)</f>
        <v>0.65</v>
      </c>
      <c r="J32" s="259">
        <f>MAX(J9:J28)</f>
        <v>0.57499999999999996</v>
      </c>
      <c r="K32" s="18"/>
      <c r="L32" s="18"/>
      <c r="M32" s="253"/>
      <c r="N32" s="253"/>
      <c r="O32" s="253"/>
      <c r="P32" s="253"/>
      <c r="Q32" s="250"/>
    </row>
    <row r="33" spans="1:17" ht="4.1500000000000004" customHeight="1">
      <c r="A33" s="162"/>
      <c r="B33" s="258"/>
      <c r="C33" s="247"/>
      <c r="D33" s="203"/>
      <c r="E33" s="203"/>
      <c r="F33" s="203"/>
      <c r="G33" s="203"/>
      <c r="H33" s="203"/>
      <c r="I33" s="203"/>
      <c r="J33" s="259"/>
      <c r="K33" s="18"/>
      <c r="L33" s="18"/>
      <c r="M33" s="253"/>
      <c r="N33" s="253"/>
      <c r="O33" s="253"/>
      <c r="P33" s="253"/>
      <c r="Q33" s="250"/>
    </row>
    <row r="34" spans="1:17" ht="16" thickBot="1">
      <c r="B34" s="260" t="s">
        <v>47</v>
      </c>
      <c r="C34" s="261"/>
      <c r="D34" s="262">
        <f>AVERAGE(D9:D28)</f>
        <v>0.57406110632489749</v>
      </c>
      <c r="E34" s="262">
        <f>AVERAGE(E9:E28)</f>
        <v>3.9557267697907716E-3</v>
      </c>
      <c r="F34" s="262">
        <f>AVERAGE(F9:F28)</f>
        <v>0.42198316690531151</v>
      </c>
      <c r="G34" s="262"/>
      <c r="H34" s="262">
        <f>AVERAGE(H9:H28)</f>
        <v>0.56200000000000006</v>
      </c>
      <c r="I34" s="262">
        <f>AVERAGE(I9:I28)</f>
        <v>0.56200000000000006</v>
      </c>
      <c r="J34" s="263">
        <f>AVERAGE(J9:J28)</f>
        <v>0.43274999999999997</v>
      </c>
      <c r="K34" s="203"/>
      <c r="L34" s="203"/>
      <c r="O34" s="79"/>
    </row>
    <row r="35" spans="1:17">
      <c r="F35" s="171"/>
      <c r="J35" s="171"/>
      <c r="K35" s="171"/>
      <c r="L35" s="171"/>
      <c r="O35" s="14"/>
    </row>
    <row r="36" spans="1:17">
      <c r="F36" s="171"/>
      <c r="J36" s="171"/>
      <c r="K36" s="171"/>
      <c r="L36" s="171"/>
      <c r="O36" s="14"/>
    </row>
    <row r="37" spans="1:17" s="8" customFormat="1" ht="13">
      <c r="A37" s="8" t="s">
        <v>21</v>
      </c>
      <c r="B37" s="8" t="s">
        <v>464</v>
      </c>
      <c r="D37" s="264"/>
      <c r="E37" s="264"/>
      <c r="F37" s="265"/>
      <c r="H37" s="264"/>
      <c r="I37" s="264"/>
      <c r="J37" s="265"/>
      <c r="K37" s="265"/>
      <c r="L37" s="265"/>
      <c r="M37" s="8" t="s">
        <v>465</v>
      </c>
      <c r="O37" s="164"/>
    </row>
    <row r="38" spans="1:17">
      <c r="A38" s="8" t="s">
        <v>22</v>
      </c>
      <c r="B38" s="266" t="str">
        <f>'Electric Utility Data'!B48</f>
        <v>The Value Line Investment Survey (Mar. 7, Apr. 18, and May 9, 2025).</v>
      </c>
      <c r="C38" s="266"/>
      <c r="D38" s="266"/>
      <c r="E38" s="266"/>
      <c r="F38" s="266"/>
      <c r="G38" s="266"/>
      <c r="H38" s="266"/>
      <c r="I38" s="266"/>
      <c r="J38" s="266"/>
      <c r="K38" s="266"/>
      <c r="L38" s="266"/>
      <c r="O38" s="267"/>
      <c r="P38" s="267"/>
      <c r="Q38" s="267"/>
    </row>
  </sheetData>
  <sortState xmlns:xlrd2="http://schemas.microsoft.com/office/spreadsheetml/2017/richdata2" ref="J48:J71">
    <sortCondition ref="J48:J71"/>
  </sortState>
  <mergeCells count="3">
    <mergeCell ref="M6:Q6"/>
    <mergeCell ref="D6:F6"/>
    <mergeCell ref="H6:J6"/>
  </mergeCells>
  <printOptions horizontalCentered="1"/>
  <pageMargins left="0.5" right="0.5" top="0.75" bottom="0.25" header="0.5" footer="0.5"/>
  <pageSetup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L37"/>
  <sheetViews>
    <sheetView view="pageBreakPreview" zoomScaleNormal="100" workbookViewId="0"/>
  </sheetViews>
  <sheetFormatPr defaultColWidth="9.26953125" defaultRowHeight="15.5"/>
  <cols>
    <col min="1" max="1" width="3.7265625" style="162" customWidth="1"/>
    <col min="2" max="2" width="21.7265625" style="4" customWidth="1"/>
    <col min="3" max="3" width="11.453125" style="4" customWidth="1"/>
    <col min="4" max="4" width="10.54296875" style="4" customWidth="1"/>
    <col min="5" max="5" width="4.26953125" style="4" customWidth="1"/>
    <col min="6" max="6" width="7.7265625" style="4" customWidth="1"/>
    <col min="7" max="7" width="4.26953125" style="4" customWidth="1"/>
    <col min="8" max="8" width="6.7265625" style="4" customWidth="1"/>
    <col min="9" max="9" width="3.7265625" style="4" customWidth="1"/>
    <col min="10" max="16384" width="9.26953125" style="4"/>
  </cols>
  <sheetData>
    <row r="1" spans="1:9">
      <c r="A1" s="278" t="str">
        <f>'Exhibit List'!C8</f>
        <v>DCF MODEL - UTILITY GROUP</v>
      </c>
      <c r="I1" s="188" t="str">
        <f>'Exhibit List'!B8</f>
        <v>Exhibit AMM-5</v>
      </c>
    </row>
    <row r="2" spans="1:9">
      <c r="A2" s="278"/>
      <c r="B2" s="91"/>
      <c r="I2" s="188" t="s">
        <v>238</v>
      </c>
    </row>
    <row r="3" spans="1:9">
      <c r="A3" s="17" t="str">
        <f>'Exhibit List'!D8</f>
        <v>DIVIDEND YIELD</v>
      </c>
    </row>
    <row r="4" spans="1:9">
      <c r="A4" s="17"/>
      <c r="I4" s="188"/>
    </row>
    <row r="5" spans="1:9">
      <c r="A5" s="17"/>
      <c r="I5" s="188"/>
    </row>
    <row r="6" spans="1:9" s="180" customFormat="1">
      <c r="A6" s="162"/>
      <c r="D6" s="180" t="s">
        <v>21</v>
      </c>
      <c r="F6" s="445" t="s">
        <v>22</v>
      </c>
      <c r="H6" s="79"/>
    </row>
    <row r="7" spans="1:9">
      <c r="B7" s="275" t="s">
        <v>239</v>
      </c>
      <c r="C7" s="275"/>
      <c r="D7" s="191" t="s">
        <v>240</v>
      </c>
      <c r="E7" s="301"/>
      <c r="F7" s="191" t="s">
        <v>241</v>
      </c>
      <c r="G7" s="191"/>
      <c r="H7" s="191" t="s">
        <v>242</v>
      </c>
      <c r="I7" s="446"/>
    </row>
    <row r="8" spans="1:9">
      <c r="A8" s="162">
        <f t="shared" ref="A8:A27" si="0">A7+1</f>
        <v>1</v>
      </c>
      <c r="B8" s="13" t="str">
        <f>VLOOKUP('Proxy Group Ticker'!B3,vldatabase,2,FALSE)</f>
        <v>Alliant Energy</v>
      </c>
      <c r="C8" s="278"/>
      <c r="D8" s="450">
        <f>HLOOKUP('Proxy Group Ticker'!B3,stockprice,33,FALSE)</f>
        <v>60.927999999999983</v>
      </c>
      <c r="E8" s="304"/>
      <c r="F8" s="450">
        <f>VLOOKUP('Proxy Group Ticker'!B3,vldatabase,4,FALSE)</f>
        <v>2.0299999999999998</v>
      </c>
      <c r="G8" s="180"/>
      <c r="H8" s="79">
        <f>F8/D8</f>
        <v>3.3318014705882359E-2</v>
      </c>
      <c r="I8" s="428"/>
    </row>
    <row r="9" spans="1:9">
      <c r="A9" s="162">
        <f t="shared" si="0"/>
        <v>2</v>
      </c>
      <c r="B9" s="13" t="str">
        <f>VLOOKUP('Proxy Group Ticker'!B4,vldatabase,2,FALSE)</f>
        <v>American Elec Pwr</v>
      </c>
      <c r="C9" s="278"/>
      <c r="D9" s="450">
        <f>HLOOKUP('Proxy Group Ticker'!B4,stockprice,33,FALSE)</f>
        <v>105.09966666666668</v>
      </c>
      <c r="E9" s="304"/>
      <c r="F9" s="450">
        <f>VLOOKUP('Proxy Group Ticker'!B4,vldatabase,4,FALSE)</f>
        <v>3.8</v>
      </c>
      <c r="G9" s="180"/>
      <c r="H9" s="79">
        <f t="shared" ref="H9:H27" si="1">F9/D9</f>
        <v>3.6156156537128246E-2</v>
      </c>
      <c r="I9" s="428"/>
    </row>
    <row r="10" spans="1:9">
      <c r="A10" s="162">
        <f t="shared" si="0"/>
        <v>3</v>
      </c>
      <c r="B10" s="13" t="str">
        <f>VLOOKUP('Proxy Group Ticker'!B5,vldatabase,2,FALSE)</f>
        <v>Avista Corp.</v>
      </c>
      <c r="C10" s="278"/>
      <c r="D10" s="450">
        <f>HLOOKUP('Proxy Group Ticker'!B5,stockprice,33,FALSE)</f>
        <v>40.549333333333344</v>
      </c>
      <c r="E10" s="304"/>
      <c r="F10" s="450">
        <f>VLOOKUP('Proxy Group Ticker'!B5,vldatabase,4,FALSE)</f>
        <v>1.96</v>
      </c>
      <c r="G10" s="180"/>
      <c r="H10" s="79">
        <f t="shared" si="1"/>
        <v>4.8336183085624082E-2</v>
      </c>
      <c r="I10" s="428"/>
    </row>
    <row r="11" spans="1:9">
      <c r="A11" s="162">
        <f t="shared" si="0"/>
        <v>4</v>
      </c>
      <c r="B11" s="13" t="str">
        <f>VLOOKUP('Proxy Group Ticker'!B6,vldatabase,2,FALSE)</f>
        <v>Black Hills Corp.</v>
      </c>
      <c r="C11" s="278"/>
      <c r="D11" s="450">
        <f>HLOOKUP('Proxy Group Ticker'!B6,stockprice,33,FALSE)</f>
        <v>59.54699999999999</v>
      </c>
      <c r="E11" s="304"/>
      <c r="F11" s="450">
        <f>VLOOKUP('Proxy Group Ticker'!B6,vldatabase,4,FALSE)</f>
        <v>2.7</v>
      </c>
      <c r="G11" s="180"/>
      <c r="H11" s="79">
        <f t="shared" si="1"/>
        <v>4.5342334626429552E-2</v>
      </c>
      <c r="I11" s="428"/>
    </row>
    <row r="12" spans="1:9">
      <c r="A12" s="162">
        <f t="shared" si="0"/>
        <v>5</v>
      </c>
      <c r="B12" s="13" t="str">
        <f>VLOOKUP('Proxy Group Ticker'!B7,vldatabase,2,FALSE)</f>
        <v>CenterPoint Energy</v>
      </c>
      <c r="C12" s="278"/>
      <c r="D12" s="450">
        <f>HLOOKUP('Proxy Group Ticker'!B7,stockprice,33,FALSE)</f>
        <v>37.44233333333333</v>
      </c>
      <c r="E12" s="304"/>
      <c r="F12" s="450">
        <f>VLOOKUP('Proxy Group Ticker'!B7,vldatabase,4,FALSE)</f>
        <v>0.88</v>
      </c>
      <c r="G12" s="180"/>
      <c r="H12" s="79">
        <f t="shared" si="1"/>
        <v>2.3502808763698847E-2</v>
      </c>
      <c r="I12" s="428"/>
    </row>
    <row r="13" spans="1:9">
      <c r="A13" s="162">
        <f t="shared" si="0"/>
        <v>6</v>
      </c>
      <c r="B13" s="13" t="str">
        <f>VLOOKUP('Proxy Group Ticker'!B8,vldatabase,2,FALSE)</f>
        <v>CMS Energy Corp.</v>
      </c>
      <c r="C13" s="278"/>
      <c r="D13" s="450">
        <f>HLOOKUP('Proxy Group Ticker'!B8,stockprice,33,FALSE)</f>
        <v>72.197666666666677</v>
      </c>
      <c r="E13" s="304"/>
      <c r="F13" s="450">
        <f>VLOOKUP('Proxy Group Ticker'!B8,vldatabase,4,FALSE)</f>
        <v>2.17</v>
      </c>
      <c r="G13" s="180"/>
      <c r="H13" s="79">
        <f t="shared" si="1"/>
        <v>3.0056373012978255E-2</v>
      </c>
      <c r="I13" s="428"/>
    </row>
    <row r="14" spans="1:9">
      <c r="A14" s="162">
        <f t="shared" si="0"/>
        <v>7</v>
      </c>
      <c r="B14" s="13" t="str">
        <f>VLOOKUP('Proxy Group Ticker'!B9,vldatabase,2,FALSE)</f>
        <v>Dominion Energy</v>
      </c>
      <c r="C14" s="278"/>
      <c r="D14" s="450">
        <f>HLOOKUP('Proxy Group Ticker'!B9,stockprice,33,FALSE)</f>
        <v>53.759000000000007</v>
      </c>
      <c r="E14" s="304"/>
      <c r="F14" s="450">
        <f>VLOOKUP('Proxy Group Ticker'!B9,vldatabase,4,FALSE)</f>
        <v>2.67</v>
      </c>
      <c r="G14" s="180"/>
      <c r="H14" s="79">
        <f t="shared" si="1"/>
        <v>4.9666102420059886E-2</v>
      </c>
      <c r="I14" s="428"/>
    </row>
    <row r="15" spans="1:9">
      <c r="A15" s="162">
        <f t="shared" si="0"/>
        <v>8</v>
      </c>
      <c r="B15" s="13" t="str">
        <f>VLOOKUP('Proxy Group Ticker'!B10,vldatabase,2,FALSE)</f>
        <v>DTE Energy Co.</v>
      </c>
      <c r="C15" s="278"/>
      <c r="D15" s="450">
        <f>HLOOKUP('Proxy Group Ticker'!B10,stockprice,33,FALSE)</f>
        <v>134.31966666666668</v>
      </c>
      <c r="E15" s="304"/>
      <c r="F15" s="450">
        <f>VLOOKUP('Proxy Group Ticker'!B10,vldatabase,4,FALSE)</f>
        <v>4.3600000000000003</v>
      </c>
      <c r="G15" s="180"/>
      <c r="H15" s="79">
        <f t="shared" si="1"/>
        <v>3.2459878052109523E-2</v>
      </c>
      <c r="I15" s="428"/>
    </row>
    <row r="16" spans="1:9">
      <c r="A16" s="162">
        <f t="shared" si="0"/>
        <v>9</v>
      </c>
      <c r="B16" s="13" t="str">
        <f>VLOOKUP('Proxy Group Ticker'!B11,vldatabase,2,FALSE)</f>
        <v>Duke Energy Corp.</v>
      </c>
      <c r="C16" s="278"/>
      <c r="D16" s="450">
        <f>HLOOKUP('Proxy Group Ticker'!B11,stockprice,33,FALSE)</f>
        <v>119.24333333333334</v>
      </c>
      <c r="E16" s="304"/>
      <c r="F16" s="450">
        <f>VLOOKUP('Proxy Group Ticker'!B11,vldatabase,4,FALSE)</f>
        <v>4.24</v>
      </c>
      <c r="G16" s="180"/>
      <c r="H16" s="79">
        <f t="shared" si="1"/>
        <v>3.5557543398652615E-2</v>
      </c>
      <c r="I16" s="428"/>
    </row>
    <row r="17" spans="1:12">
      <c r="A17" s="162">
        <f t="shared" si="0"/>
        <v>10</v>
      </c>
      <c r="B17" s="13" t="str">
        <f>VLOOKUP('Proxy Group Ticker'!B12,vldatabase,2,FALSE)</f>
        <v>Edison International</v>
      </c>
      <c r="C17" s="278"/>
      <c r="D17" s="450">
        <f>HLOOKUP('Proxy Group Ticker'!B12,stockprice,33,FALSE)</f>
        <v>56.355999999999995</v>
      </c>
      <c r="E17" s="304"/>
      <c r="F17" s="450">
        <f>VLOOKUP('Proxy Group Ticker'!B12,vldatabase,4,FALSE)</f>
        <v>3.41</v>
      </c>
      <c r="G17" s="180"/>
      <c r="H17" s="79">
        <f t="shared" si="1"/>
        <v>6.0508197884874736E-2</v>
      </c>
      <c r="I17" s="428"/>
    </row>
    <row r="18" spans="1:12">
      <c r="A18" s="162">
        <f t="shared" si="0"/>
        <v>11</v>
      </c>
      <c r="B18" s="13" t="str">
        <f>VLOOKUP('Proxy Group Ticker'!B13,vldatabase,2,FALSE)</f>
        <v>Entergy Corp.</v>
      </c>
      <c r="C18" s="278"/>
      <c r="D18" s="450">
        <f>HLOOKUP('Proxy Group Ticker'!B13,stockprice,33,FALSE)</f>
        <v>82.63633333333334</v>
      </c>
      <c r="E18" s="304"/>
      <c r="F18" s="450">
        <f>VLOOKUP('Proxy Group Ticker'!B13,vldatabase,4,FALSE)</f>
        <v>2.4</v>
      </c>
      <c r="G18" s="180"/>
      <c r="H18" s="79">
        <f t="shared" si="1"/>
        <v>2.9042914940562863E-2</v>
      </c>
      <c r="I18" s="428"/>
    </row>
    <row r="19" spans="1:12">
      <c r="A19" s="162">
        <f t="shared" si="0"/>
        <v>12</v>
      </c>
      <c r="B19" s="13" t="str">
        <f>VLOOKUP('Proxy Group Ticker'!B14,vldatabase,2,FALSE)</f>
        <v>Evergy Inc.</v>
      </c>
      <c r="C19" s="278"/>
      <c r="D19" s="450">
        <f>HLOOKUP('Proxy Group Ticker'!B14,stockprice,33,FALSE)</f>
        <v>67.23366666666665</v>
      </c>
      <c r="E19" s="304"/>
      <c r="F19" s="450">
        <f>VLOOKUP('Proxy Group Ticker'!B14,vldatabase,4,FALSE)</f>
        <v>2.71</v>
      </c>
      <c r="G19" s="180"/>
      <c r="H19" s="79">
        <f t="shared" si="1"/>
        <v>4.0307187371406199E-2</v>
      </c>
      <c r="I19" s="428"/>
    </row>
    <row r="20" spans="1:12">
      <c r="A20" s="162">
        <f t="shared" si="0"/>
        <v>13</v>
      </c>
      <c r="B20" s="13" t="str">
        <f>VLOOKUP('Proxy Group Ticker'!B15,vldatabase,2,FALSE)</f>
        <v>Eversource Energy</v>
      </c>
      <c r="C20" s="278"/>
      <c r="D20" s="450">
        <f>HLOOKUP('Proxy Group Ticker'!B15,stockprice,33,FALSE)</f>
        <v>59.228333333333332</v>
      </c>
      <c r="E20" s="304"/>
      <c r="F20" s="450">
        <f>VLOOKUP('Proxy Group Ticker'!B15,vldatabase,4,FALSE)</f>
        <v>3.05</v>
      </c>
      <c r="G20" s="180"/>
      <c r="H20" s="79">
        <f t="shared" si="1"/>
        <v>5.1495624278920557E-2</v>
      </c>
      <c r="I20" s="428"/>
    </row>
    <row r="21" spans="1:12">
      <c r="A21" s="162">
        <f t="shared" si="0"/>
        <v>14</v>
      </c>
      <c r="B21" s="13" t="str">
        <f>VLOOKUP('Proxy Group Ticker'!B16,vldatabase,2,FALSE)</f>
        <v>FirstEnergy Corp.</v>
      </c>
      <c r="C21" s="278"/>
      <c r="D21" s="450">
        <f>HLOOKUP('Proxy Group Ticker'!B16,stockprice,33,FALSE)</f>
        <v>41.818333333333335</v>
      </c>
      <c r="E21" s="304"/>
      <c r="F21" s="450">
        <f>VLOOKUP('Proxy Group Ticker'!B16,vldatabase,4,FALSE)</f>
        <v>1.8</v>
      </c>
      <c r="G21" s="180"/>
      <c r="H21" s="79">
        <f t="shared" si="1"/>
        <v>4.3043322306803238E-2</v>
      </c>
      <c r="I21" s="428"/>
    </row>
    <row r="22" spans="1:12">
      <c r="A22" s="162">
        <f t="shared" si="0"/>
        <v>15</v>
      </c>
      <c r="B22" s="13" t="str">
        <f>VLOOKUP('Proxy Group Ticker'!B17,vldatabase,2,FALSE)</f>
        <v>IDACORP, Inc.</v>
      </c>
      <c r="C22" s="278"/>
      <c r="D22" s="450">
        <f>HLOOKUP('Proxy Group Ticker'!B17,stockprice,33,FALSE)</f>
        <v>116.03466666666668</v>
      </c>
      <c r="E22" s="304"/>
      <c r="F22" s="450">
        <f>VLOOKUP('Proxy Group Ticker'!B17,vldatabase,4,FALSE)</f>
        <v>3.44</v>
      </c>
      <c r="G22" s="180"/>
      <c r="H22" s="79">
        <f t="shared" si="1"/>
        <v>2.9646312596235604E-2</v>
      </c>
      <c r="I22" s="428"/>
    </row>
    <row r="23" spans="1:12">
      <c r="A23" s="162">
        <f t="shared" si="0"/>
        <v>16</v>
      </c>
      <c r="B23" s="13" t="str">
        <f>VLOOKUP('Proxy Group Ticker'!B18,vldatabase,2,FALSE)</f>
        <v>NorthWestern Energy Grp.</v>
      </c>
      <c r="C23" s="278"/>
      <c r="D23" s="450">
        <f>HLOOKUP('Proxy Group Ticker'!B18,stockprice,33,FALSE)</f>
        <v>57.101666666666681</v>
      </c>
      <c r="E23" s="304"/>
      <c r="F23" s="450">
        <f>VLOOKUP('Proxy Group Ticker'!B18,vldatabase,4,FALSE)</f>
        <v>2.65</v>
      </c>
      <c r="G23" s="180"/>
      <c r="H23" s="79">
        <f t="shared" si="1"/>
        <v>4.6408452759697599E-2</v>
      </c>
      <c r="I23" s="428"/>
    </row>
    <row r="24" spans="1:12">
      <c r="A24" s="162">
        <f t="shared" si="0"/>
        <v>17</v>
      </c>
      <c r="B24" s="13" t="str">
        <f>VLOOKUP('Proxy Group Ticker'!B19,vldatabase,2,FALSE)</f>
        <v>Otter Tail Corp.</v>
      </c>
      <c r="C24" s="278"/>
      <c r="D24" s="450">
        <f>HLOOKUP('Proxy Group Ticker'!B19,stockprice,33,FALSE)</f>
        <v>78.324333333333342</v>
      </c>
      <c r="E24" s="304"/>
      <c r="F24" s="450">
        <f>VLOOKUP('Proxy Group Ticker'!B19,vldatabase,4,FALSE)</f>
        <v>2.1</v>
      </c>
      <c r="G24" s="180"/>
      <c r="H24" s="79">
        <f t="shared" si="1"/>
        <v>2.6811591118979624E-2</v>
      </c>
      <c r="I24" s="428"/>
    </row>
    <row r="25" spans="1:12">
      <c r="A25" s="162">
        <f t="shared" si="0"/>
        <v>18</v>
      </c>
      <c r="B25" s="13" t="str">
        <f>VLOOKUP('Proxy Group Ticker'!B20,vldatabase,2,FALSE)</f>
        <v>Pinnacle West Capital</v>
      </c>
      <c r="C25" s="278"/>
      <c r="D25" s="450">
        <f>HLOOKUP('Proxy Group Ticker'!B20,stockprice,33,FALSE)</f>
        <v>92.590666666666678</v>
      </c>
      <c r="E25" s="304"/>
      <c r="F25" s="450">
        <f>VLOOKUP('Proxy Group Ticker'!B20,vldatabase,4,FALSE)</f>
        <v>3.61</v>
      </c>
      <c r="G25" s="180"/>
      <c r="H25" s="79">
        <f t="shared" si="1"/>
        <v>3.8988810967268112E-2</v>
      </c>
      <c r="I25" s="428"/>
    </row>
    <row r="26" spans="1:12">
      <c r="A26" s="162">
        <f t="shared" si="0"/>
        <v>19</v>
      </c>
      <c r="B26" s="13" t="str">
        <f>VLOOKUP('Proxy Group Ticker'!B21,vldatabase,2,FALSE)</f>
        <v>Pub Sv Enterprise Grp.</v>
      </c>
      <c r="C26" s="278"/>
      <c r="D26" s="450">
        <f>HLOOKUP('Proxy Group Ticker'!B21,stockprice,33,FALSE)</f>
        <v>80.289666666666648</v>
      </c>
      <c r="E26" s="304"/>
      <c r="F26" s="450">
        <f>VLOOKUP('Proxy Group Ticker'!B21,vldatabase,4,FALSE)</f>
        <v>2.56</v>
      </c>
      <c r="G26" s="180"/>
      <c r="H26" s="79">
        <f t="shared" si="1"/>
        <v>3.1884551353640371E-2</v>
      </c>
      <c r="I26" s="428"/>
    </row>
    <row r="27" spans="1:12">
      <c r="A27" s="162">
        <f t="shared" si="0"/>
        <v>20</v>
      </c>
      <c r="B27" s="13" t="str">
        <f>VLOOKUP('Proxy Group Ticker'!B22,vldatabase,2,FALSE)</f>
        <v>Sempra</v>
      </c>
      <c r="C27" s="278"/>
      <c r="D27" s="450">
        <f>HLOOKUP('Proxy Group Ticker'!B22,stockprice,33,FALSE)</f>
        <v>72.958000000000013</v>
      </c>
      <c r="E27" s="304"/>
      <c r="F27" s="450">
        <f>VLOOKUP('Proxy Group Ticker'!B22,vldatabase,4,FALSE)</f>
        <v>2.58</v>
      </c>
      <c r="G27" s="180"/>
      <c r="H27" s="79">
        <f t="shared" si="1"/>
        <v>3.5362811480577863E-2</v>
      </c>
      <c r="I27" s="428"/>
    </row>
    <row r="28" spans="1:12" ht="2.5" customHeight="1">
      <c r="B28" s="13"/>
      <c r="C28" s="278"/>
      <c r="D28" s="451"/>
      <c r="E28" s="304"/>
      <c r="F28" s="451" t="s">
        <v>71</v>
      </c>
      <c r="G28" s="180"/>
      <c r="H28" s="405"/>
      <c r="I28" s="431"/>
    </row>
    <row r="29" spans="1:12">
      <c r="A29" s="303"/>
      <c r="B29" s="11" t="s">
        <v>243</v>
      </c>
      <c r="C29" s="278"/>
      <c r="D29" s="451"/>
      <c r="E29" s="304"/>
      <c r="F29" s="451"/>
      <c r="G29" s="180"/>
      <c r="H29" s="452">
        <f>AVERAGE(H8:H27)</f>
        <v>3.8394758583076505E-2</v>
      </c>
      <c r="I29" s="431"/>
      <c r="K29" s="1360">
        <f>H29*0.025</f>
        <v>9.5986896457691271E-4</v>
      </c>
      <c r="L29" s="4" t="s">
        <v>1989</v>
      </c>
    </row>
    <row r="30" spans="1:12">
      <c r="B30" s="13"/>
      <c r="C30" s="278"/>
      <c r="D30" s="450"/>
      <c r="E30" s="304"/>
      <c r="F30" s="450"/>
      <c r="G30" s="180"/>
      <c r="H30" s="79"/>
      <c r="I30" s="428"/>
    </row>
    <row r="31" spans="1:12">
      <c r="B31" s="13"/>
      <c r="C31" s="278"/>
      <c r="D31" s="450"/>
      <c r="E31" s="304"/>
      <c r="F31" s="450"/>
      <c r="G31" s="180"/>
      <c r="H31" s="606"/>
      <c r="I31" s="428"/>
    </row>
    <row r="32" spans="1:12" s="295" customFormat="1" ht="14">
      <c r="A32" s="296" t="s">
        <v>21</v>
      </c>
      <c r="B32" s="453" t="str">
        <f>'Stock Price (Utility)'!B37</f>
        <v>Average of closing prices for 30 trading days ended May 19, 2025.</v>
      </c>
      <c r="C32" s="447"/>
      <c r="D32" s="447"/>
      <c r="E32" s="447"/>
      <c r="F32" s="447"/>
      <c r="G32" s="447"/>
      <c r="H32" s="447"/>
    </row>
    <row r="33" spans="1:8" s="295" customFormat="1" ht="14">
      <c r="A33" s="296" t="s">
        <v>22</v>
      </c>
      <c r="B33" s="454" t="str">
        <f>'Electric Utility Data'!B47</f>
        <v>The Value Line Investment Survey, Summary &amp; Index (May 23, 2025).</v>
      </c>
      <c r="C33" s="447"/>
      <c r="D33" s="447"/>
      <c r="E33" s="447"/>
      <c r="F33" s="447"/>
      <c r="G33" s="447"/>
      <c r="H33" s="447"/>
    </row>
    <row r="36" spans="1:8">
      <c r="F36" s="4" t="s">
        <v>244</v>
      </c>
      <c r="H36" s="171">
        <f>MIN(H8:H27)</f>
        <v>2.3502808763698847E-2</v>
      </c>
    </row>
    <row r="37" spans="1:8">
      <c r="F37" s="4" t="s">
        <v>245</v>
      </c>
      <c r="H37" s="171">
        <f>MAX(H8:H27)</f>
        <v>6.0508197884874736E-2</v>
      </c>
    </row>
  </sheetData>
  <conditionalFormatting sqref="L8:L27">
    <cfRule type="cellIs" dxfId="30" priority="8" operator="equal">
      <formula>"""zzz"""</formula>
    </cfRule>
  </conditionalFormatting>
  <conditionalFormatting sqref="L8:L27">
    <cfRule type="cellIs" dxfId="29" priority="7" operator="equal">
      <formula>"""zzz"""</formula>
    </cfRule>
  </conditionalFormatting>
  <conditionalFormatting sqref="L8:L27">
    <cfRule type="cellIs" dxfId="28" priority="5" operator="equal">
      <formula>"zzz"</formula>
    </cfRule>
    <cfRule type="cellIs" dxfId="27" priority="6" operator="equal">
      <formula>"""zzz"""</formula>
    </cfRule>
  </conditionalFormatting>
  <conditionalFormatting sqref="L30:L31">
    <cfRule type="cellIs" dxfId="26" priority="4" operator="equal">
      <formula>"""zzz"""</formula>
    </cfRule>
  </conditionalFormatting>
  <conditionalFormatting sqref="L30:L31">
    <cfRule type="cellIs" dxfId="25" priority="3" operator="equal">
      <formula>"""zzz"""</formula>
    </cfRule>
  </conditionalFormatting>
  <conditionalFormatting sqref="L30:L31">
    <cfRule type="cellIs" dxfId="24" priority="1" operator="equal">
      <formula>"zzz"</formula>
    </cfRule>
    <cfRule type="cellIs" dxfId="23" priority="2" operator="equal">
      <formula>"""zzz"""</formula>
    </cfRule>
  </conditionalFormatting>
  <printOptions horizontalCentered="1"/>
  <pageMargins left="0.5" right="0.5" top="0.75" bottom="0.25" header="0.5" footer="0.5"/>
  <pageSetup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L34"/>
  <sheetViews>
    <sheetView view="pageBreakPreview" zoomScaleNormal="100" workbookViewId="0"/>
  </sheetViews>
  <sheetFormatPr defaultColWidth="9.26953125" defaultRowHeight="15.5"/>
  <cols>
    <col min="1" max="1" width="3.7265625" style="162" customWidth="1"/>
    <col min="2" max="2" width="22.81640625" style="4" customWidth="1"/>
    <col min="3" max="3" width="10.26953125" style="4" customWidth="1"/>
    <col min="4" max="4" width="7.453125" style="443" customWidth="1"/>
    <col min="5" max="5" width="1.26953125" style="4" customWidth="1"/>
    <col min="6" max="6" width="7.453125" style="4" customWidth="1"/>
    <col min="7" max="7" width="1.26953125" style="443" customWidth="1"/>
    <col min="8" max="8" width="7.453125" style="443" customWidth="1"/>
    <col min="9" max="9" width="3.7265625" style="443" customWidth="1"/>
    <col min="10" max="10" width="7.453125" style="443" customWidth="1"/>
    <col min="11" max="11" width="3.7265625" style="4" customWidth="1"/>
    <col min="12" max="12" width="9.26953125" style="420" customWidth="1"/>
    <col min="13" max="16384" width="9.26953125" style="4"/>
  </cols>
  <sheetData>
    <row r="1" spans="1:11">
      <c r="A1" s="278" t="str">
        <f>'Exhibit List'!C9</f>
        <v>DCF MODEL - UTILITY GROUP</v>
      </c>
      <c r="D1" s="433"/>
      <c r="E1" s="7"/>
      <c r="F1" s="7"/>
      <c r="K1" s="188" t="str">
        <f>'Exhibit List'!B9</f>
        <v>Exhibit AMM-5</v>
      </c>
    </row>
    <row r="2" spans="1:11">
      <c r="A2" s="278"/>
      <c r="B2" s="91"/>
      <c r="D2" s="433"/>
      <c r="E2" s="7"/>
      <c r="F2" s="7"/>
      <c r="K2" s="188" t="s">
        <v>246</v>
      </c>
    </row>
    <row r="3" spans="1:11">
      <c r="A3" s="17" t="str">
        <f>'Exhibit List'!D9</f>
        <v>GROWTH RATES</v>
      </c>
      <c r="D3" s="433"/>
      <c r="E3" s="7"/>
      <c r="F3" s="7"/>
    </row>
    <row r="4" spans="1:11">
      <c r="A4" s="17"/>
      <c r="D4" s="433"/>
      <c r="E4" s="7"/>
      <c r="F4" s="7"/>
      <c r="K4" s="188"/>
    </row>
    <row r="5" spans="1:11">
      <c r="A5" s="17"/>
      <c r="D5" s="444"/>
      <c r="E5" s="7"/>
      <c r="F5" s="7"/>
      <c r="G5" s="80"/>
      <c r="H5" s="80"/>
      <c r="I5" s="80"/>
      <c r="J5" s="80"/>
    </row>
    <row r="6" spans="1:11" s="180" customFormat="1">
      <c r="A6" s="162"/>
      <c r="D6" s="180" t="s">
        <v>21</v>
      </c>
      <c r="F6" s="445" t="s">
        <v>22</v>
      </c>
      <c r="G6" s="79"/>
      <c r="H6" s="180" t="s">
        <v>23</v>
      </c>
      <c r="I6" s="79"/>
      <c r="J6" s="12" t="s">
        <v>24</v>
      </c>
    </row>
    <row r="7" spans="1:11" ht="16.399999999999999" customHeight="1">
      <c r="B7" s="245"/>
      <c r="C7" s="245"/>
      <c r="D7" s="1448" t="s">
        <v>247</v>
      </c>
      <c r="E7" s="1448"/>
      <c r="F7" s="1448"/>
      <c r="G7" s="1448"/>
      <c r="H7" s="1448"/>
      <c r="I7" s="422"/>
      <c r="J7" s="423" t="s">
        <v>248</v>
      </c>
    </row>
    <row r="8" spans="1:11">
      <c r="B8" s="275" t="s">
        <v>239</v>
      </c>
      <c r="C8" s="275"/>
      <c r="D8" s="191" t="s">
        <v>249</v>
      </c>
      <c r="E8" s="190"/>
      <c r="F8" s="426" t="s">
        <v>96</v>
      </c>
      <c r="G8" s="426"/>
      <c r="H8" s="426" t="s">
        <v>97</v>
      </c>
      <c r="I8" s="426"/>
      <c r="J8" s="426" t="s">
        <v>250</v>
      </c>
    </row>
    <row r="9" spans="1:11">
      <c r="A9" s="162">
        <f t="shared" ref="A9:A28" si="0">A8+1</f>
        <v>1</v>
      </c>
      <c r="B9" s="13" t="str">
        <f>'5 (1)'!B8</f>
        <v>Alliant Energy</v>
      </c>
      <c r="C9" s="278"/>
      <c r="D9" s="79">
        <f>VLOOKUP('Proxy Group Ticker'!B3,vldatabase,19,FALSE)</f>
        <v>0.06</v>
      </c>
      <c r="F9" s="79">
        <f>VLOOKUP('Proxy Group Ticker'!B3,vldatabase,30,FALSE)</f>
        <v>6.5000000000000002E-2</v>
      </c>
      <c r="G9" s="79"/>
      <c r="H9" s="79">
        <f>VLOOKUP('Proxy Group Ticker'!B3,vldatabase,31,FALSE)</f>
        <v>6.7299999999999999E-2</v>
      </c>
      <c r="I9" s="446"/>
      <c r="J9" s="79">
        <f>'6'!Q9</f>
        <v>5.8251084231761147E-2</v>
      </c>
    </row>
    <row r="10" spans="1:11">
      <c r="A10" s="162">
        <f t="shared" si="0"/>
        <v>2</v>
      </c>
      <c r="B10" s="13" t="str">
        <f>'5 (1)'!B9</f>
        <v>American Elec Pwr</v>
      </c>
      <c r="C10" s="278"/>
      <c r="D10" s="79">
        <f>VLOOKUP('Proxy Group Ticker'!B4,vldatabase,19,FALSE)</f>
        <v>6.5000000000000002E-2</v>
      </c>
      <c r="F10" s="79">
        <f>VLOOKUP('Proxy Group Ticker'!B4,vldatabase,30,FALSE)</f>
        <v>6.4000000000000001E-2</v>
      </c>
      <c r="G10" s="79"/>
      <c r="H10" s="79">
        <f>VLOOKUP('Proxy Group Ticker'!B4,vldatabase,31,FALSE)</f>
        <v>6.4299999999999996E-2</v>
      </c>
      <c r="I10" s="446"/>
      <c r="J10" s="79">
        <f>'6'!Q10</f>
        <v>6.0715866138331756E-2</v>
      </c>
    </row>
    <row r="11" spans="1:11">
      <c r="A11" s="162">
        <f t="shared" si="0"/>
        <v>3</v>
      </c>
      <c r="B11" s="13" t="str">
        <f>'5 (1)'!B10</f>
        <v>Avista Corp.</v>
      </c>
      <c r="C11" s="278"/>
      <c r="D11" s="79">
        <f>VLOOKUP('Proxy Group Ticker'!B5,vldatabase,19,FALSE)</f>
        <v>5.5E-2</v>
      </c>
      <c r="F11" s="79">
        <f>VLOOKUP('Proxy Group Ticker'!B5,vldatabase,30,FALSE)</f>
        <v>6.9000000000000006E-2</v>
      </c>
      <c r="G11" s="79"/>
      <c r="H11" s="79">
        <f>VLOOKUP('Proxy Group Ticker'!B5,vldatabase,31,FALSE)</f>
        <v>6.0699999999999997E-2</v>
      </c>
      <c r="I11" s="446"/>
      <c r="J11" s="79">
        <f>'6'!Q11</f>
        <v>2.6987204796664884E-2</v>
      </c>
    </row>
    <row r="12" spans="1:11">
      <c r="A12" s="162">
        <f t="shared" si="0"/>
        <v>4</v>
      </c>
      <c r="B12" s="13" t="str">
        <f>'5 (1)'!B11</f>
        <v>Black Hills Corp.</v>
      </c>
      <c r="C12" s="278"/>
      <c r="D12" s="79">
        <f>VLOOKUP('Proxy Group Ticker'!B6,vldatabase,19,FALSE)</f>
        <v>3.5000000000000003E-2</v>
      </c>
      <c r="F12" s="79">
        <f>VLOOKUP('Proxy Group Ticker'!B6,vldatabase,30,FALSE)</f>
        <v>5.2999999999999999E-2</v>
      </c>
      <c r="G12" s="79"/>
      <c r="H12" s="79">
        <f>VLOOKUP('Proxy Group Ticker'!B6,vldatabase,31,FALSE)</f>
        <v>5.2600000000000001E-2</v>
      </c>
      <c r="I12" s="446"/>
      <c r="J12" s="79">
        <f>'6'!Q12</f>
        <v>4.240323011924018E-2</v>
      </c>
    </row>
    <row r="13" spans="1:11">
      <c r="A13" s="162">
        <f t="shared" si="0"/>
        <v>5</v>
      </c>
      <c r="B13" s="13" t="str">
        <f>'5 (1)'!B12</f>
        <v>CenterPoint Energy</v>
      </c>
      <c r="C13" s="278"/>
      <c r="D13" s="79">
        <f>VLOOKUP('Proxy Group Ticker'!B7,vldatabase,19,FALSE)</f>
        <v>6.5000000000000002E-2</v>
      </c>
      <c r="F13" s="79">
        <f>VLOOKUP('Proxy Group Ticker'!B7,vldatabase,30,FALSE)</f>
        <v>0.08</v>
      </c>
      <c r="G13" s="79"/>
      <c r="H13" s="79">
        <f>VLOOKUP('Proxy Group Ticker'!B7,vldatabase,31,FALSE)</f>
        <v>7.7600000000000002E-2</v>
      </c>
      <c r="I13" s="446"/>
      <c r="J13" s="79">
        <f>'6'!Q13</f>
        <v>4.754685993510302E-2</v>
      </c>
    </row>
    <row r="14" spans="1:11">
      <c r="A14" s="162">
        <f t="shared" si="0"/>
        <v>6</v>
      </c>
      <c r="B14" s="13" t="str">
        <f>'5 (1)'!B13</f>
        <v>CMS Energy Corp.</v>
      </c>
      <c r="C14" s="278"/>
      <c r="D14" s="79">
        <f>VLOOKUP('Proxy Group Ticker'!B8,vldatabase,19,FALSE)</f>
        <v>0.06</v>
      </c>
      <c r="F14" s="79">
        <f>VLOOKUP('Proxy Group Ticker'!B8,vldatabase,30,FALSE)</f>
        <v>7.6999999999999999E-2</v>
      </c>
      <c r="G14" s="79"/>
      <c r="H14" s="79">
        <f>VLOOKUP('Proxy Group Ticker'!B8,vldatabase,31,FALSE)</f>
        <v>7.8399999999999997E-2</v>
      </c>
      <c r="I14" s="446"/>
      <c r="J14" s="79">
        <f>'6'!Q14</f>
        <v>5.9682364920424183E-2</v>
      </c>
    </row>
    <row r="15" spans="1:11">
      <c r="A15" s="162">
        <f t="shared" si="0"/>
        <v>7</v>
      </c>
      <c r="B15" s="13" t="str">
        <f>'5 (1)'!B14</f>
        <v>Dominion Energy</v>
      </c>
      <c r="C15" s="278"/>
      <c r="D15" s="79">
        <f>VLOOKUP('Proxy Group Ticker'!B9,vldatabase,19,FALSE)</f>
        <v>0.06</v>
      </c>
      <c r="F15" s="79">
        <f>VLOOKUP('Proxy Group Ticker'!B9,vldatabase,30,FALSE)</f>
        <v>0.154</v>
      </c>
      <c r="G15" s="79"/>
      <c r="H15" s="79">
        <f>VLOOKUP('Proxy Group Ticker'!B9,vldatabase,31,FALSE)</f>
        <v>0.13589999999999999</v>
      </c>
      <c r="I15" s="446"/>
      <c r="J15" s="79">
        <f>'6'!Q15</f>
        <v>4.9092476255495641E-2</v>
      </c>
    </row>
    <row r="16" spans="1:11">
      <c r="A16" s="162">
        <f t="shared" si="0"/>
        <v>8</v>
      </c>
      <c r="B16" s="13" t="str">
        <f>'5 (1)'!B15</f>
        <v>DTE Energy Co.</v>
      </c>
      <c r="C16" s="278"/>
      <c r="D16" s="79">
        <f>VLOOKUP('Proxy Group Ticker'!B10,vldatabase,19,FALSE)</f>
        <v>4.4999999999999998E-2</v>
      </c>
      <c r="F16" s="79">
        <f>VLOOKUP('Proxy Group Ticker'!B10,vldatabase,30,FALSE)</f>
        <v>7.9000000000000001E-2</v>
      </c>
      <c r="G16" s="79"/>
      <c r="H16" s="79">
        <f>VLOOKUP('Proxy Group Ticker'!B10,vldatabase,31,FALSE)</f>
        <v>7.6399999999999996E-2</v>
      </c>
      <c r="I16" s="446"/>
      <c r="J16" s="79">
        <f>'6'!Q16</f>
        <v>6.9365234862884845E-2</v>
      </c>
    </row>
    <row r="17" spans="1:10">
      <c r="A17" s="162">
        <f t="shared" si="0"/>
        <v>9</v>
      </c>
      <c r="B17" s="13" t="str">
        <f>'5 (1)'!B16</f>
        <v>Duke Energy Corp.</v>
      </c>
      <c r="C17" s="278"/>
      <c r="D17" s="79">
        <f>VLOOKUP('Proxy Group Ticker'!B11,vldatabase,19,FALSE)</f>
        <v>0.06</v>
      </c>
      <c r="F17" s="79">
        <f>VLOOKUP('Proxy Group Ticker'!B11,vldatabase,30,FALSE)</f>
        <v>6.6000000000000003E-2</v>
      </c>
      <c r="G17" s="79"/>
      <c r="H17" s="79">
        <f>VLOOKUP('Proxy Group Ticker'!B11,vldatabase,31,FALSE)</f>
        <v>6.3299999999999995E-2</v>
      </c>
      <c r="I17" s="446"/>
      <c r="J17" s="79">
        <f>'6'!Q17</f>
        <v>4.0736091014237794E-2</v>
      </c>
    </row>
    <row r="18" spans="1:10">
      <c r="A18" s="162">
        <f t="shared" si="0"/>
        <v>10</v>
      </c>
      <c r="B18" s="13" t="str">
        <f>'5 (1)'!B17</f>
        <v>Edison International</v>
      </c>
      <c r="C18" s="278"/>
      <c r="D18" s="79">
        <f>VLOOKUP('Proxy Group Ticker'!B12,vldatabase,19,FALSE)</f>
        <v>6.5000000000000002E-2</v>
      </c>
      <c r="F18" s="79">
        <f>VLOOKUP('Proxy Group Ticker'!B12,vldatabase,30,FALSE)</f>
        <v>0.1</v>
      </c>
      <c r="G18" s="79"/>
      <c r="H18" s="79">
        <f>VLOOKUP('Proxy Group Ticker'!B12,vldatabase,31,FALSE)</f>
        <v>7.0099999999999996E-2</v>
      </c>
      <c r="I18" s="446"/>
      <c r="J18" s="79">
        <f>'6'!Q18</f>
        <v>6.2261449765560181E-2</v>
      </c>
    </row>
    <row r="19" spans="1:10">
      <c r="A19" s="162">
        <f t="shared" si="0"/>
        <v>11</v>
      </c>
      <c r="B19" s="13" t="str">
        <f>'5 (1)'!B18</f>
        <v>Entergy Corp.</v>
      </c>
      <c r="C19" s="278"/>
      <c r="D19" s="79">
        <f>VLOOKUP('Proxy Group Ticker'!B13,vldatabase,19,FALSE)</f>
        <v>0.03</v>
      </c>
      <c r="F19" s="79">
        <f>VLOOKUP('Proxy Group Ticker'!B13,vldatabase,30,FALSE)</f>
        <v>9.6000000000000002E-2</v>
      </c>
      <c r="G19" s="79"/>
      <c r="H19" s="79">
        <f>VLOOKUP('Proxy Group Ticker'!B13,vldatabase,31,FALSE)</f>
        <v>9.4600000000000004E-2</v>
      </c>
      <c r="I19" s="446"/>
      <c r="J19" s="79">
        <f>'6'!Q19</f>
        <v>3.924864330535556E-2</v>
      </c>
    </row>
    <row r="20" spans="1:10">
      <c r="A20" s="162">
        <f t="shared" si="0"/>
        <v>12</v>
      </c>
      <c r="B20" s="13" t="str">
        <f>'5 (1)'!B19</f>
        <v>Evergy Inc.</v>
      </c>
      <c r="C20" s="278"/>
      <c r="D20" s="79">
        <f>VLOOKUP('Proxy Group Ticker'!B14,vldatabase,19,FALSE)</f>
        <v>7.4999999999999997E-2</v>
      </c>
      <c r="F20" s="79">
        <f>VLOOKUP('Proxy Group Ticker'!B14,vldatabase,30,FALSE)</f>
        <v>0.06</v>
      </c>
      <c r="G20" s="79"/>
      <c r="H20" s="79">
        <f>VLOOKUP('Proxy Group Ticker'!B14,vldatabase,31,FALSE)</f>
        <v>5.7000000000000002E-2</v>
      </c>
      <c r="I20" s="446"/>
      <c r="J20" s="79">
        <f>'6'!Q20</f>
        <v>3.7497900361663873E-2</v>
      </c>
    </row>
    <row r="21" spans="1:10">
      <c r="A21" s="162">
        <f t="shared" si="0"/>
        <v>13</v>
      </c>
      <c r="B21" s="13" t="str">
        <f>'5 (1)'!B20</f>
        <v>Eversource Energy</v>
      </c>
      <c r="C21" s="278"/>
      <c r="D21" s="79">
        <f>VLOOKUP('Proxy Group Ticker'!B15,vldatabase,19,FALSE)</f>
        <v>5.5E-2</v>
      </c>
      <c r="F21" s="79">
        <f>VLOOKUP('Proxy Group Ticker'!B15,vldatabase,30,FALSE)</f>
        <v>5.2999999999999999E-2</v>
      </c>
      <c r="G21" s="79"/>
      <c r="H21" s="79">
        <f>VLOOKUP('Proxy Group Ticker'!B15,vldatabase,31,FALSE)</f>
        <v>5.6599999999999998E-2</v>
      </c>
      <c r="I21" s="446"/>
      <c r="J21" s="79">
        <f>'6'!Q21</f>
        <v>4.9391102404917085E-2</v>
      </c>
    </row>
    <row r="22" spans="1:10">
      <c r="A22" s="162">
        <f t="shared" si="0"/>
        <v>14</v>
      </c>
      <c r="B22" s="13" t="str">
        <f>'5 (1)'!B21</f>
        <v>FirstEnergy Corp.</v>
      </c>
      <c r="C22" s="278"/>
      <c r="D22" s="79">
        <f>VLOOKUP('Proxy Group Ticker'!B16,vldatabase,19,FALSE)</f>
        <v>4.4999999999999998E-2</v>
      </c>
      <c r="F22" s="79">
        <f>VLOOKUP('Proxy Group Ticker'!B16,vldatabase,30,FALSE)</f>
        <v>5.8999999999999997E-2</v>
      </c>
      <c r="G22" s="79"/>
      <c r="H22" s="79">
        <f>VLOOKUP('Proxy Group Ticker'!B16,vldatabase,31,FALSE)</f>
        <v>6.4299999999999996E-2</v>
      </c>
      <c r="I22" s="446"/>
      <c r="J22" s="79">
        <f>'6'!Q22</f>
        <v>5.2598847729174503E-2</v>
      </c>
    </row>
    <row r="23" spans="1:10">
      <c r="A23" s="162">
        <f t="shared" si="0"/>
        <v>15</v>
      </c>
      <c r="B23" s="13" t="str">
        <f>'5 (1)'!B22</f>
        <v>IDACORP, Inc.</v>
      </c>
      <c r="C23" s="278"/>
      <c r="D23" s="79">
        <f>VLOOKUP('Proxy Group Ticker'!B17,vldatabase,19,FALSE)</f>
        <v>0.06</v>
      </c>
      <c r="F23" s="79">
        <f>VLOOKUP('Proxy Group Ticker'!B17,vldatabase,30,FALSE)</f>
        <v>7.3999999999999996E-2</v>
      </c>
      <c r="G23" s="79"/>
      <c r="H23" s="79">
        <f>VLOOKUP('Proxy Group Ticker'!B17,vldatabase,31,FALSE)</f>
        <v>8.1299999999999997E-2</v>
      </c>
      <c r="I23" s="446"/>
      <c r="J23" s="79">
        <f>'6'!Q23</f>
        <v>4.6199479005185395E-2</v>
      </c>
    </row>
    <row r="24" spans="1:10">
      <c r="A24" s="162">
        <f t="shared" si="0"/>
        <v>16</v>
      </c>
      <c r="B24" s="13" t="str">
        <f>'5 (1)'!B23</f>
        <v>NorthWestern Energy Grp.</v>
      </c>
      <c r="C24" s="278"/>
      <c r="D24" s="79">
        <f>VLOOKUP('Proxy Group Ticker'!B18,vldatabase,19,FALSE)</f>
        <v>4.4999999999999998E-2</v>
      </c>
      <c r="F24" s="79">
        <f>VLOOKUP('Proxy Group Ticker'!B18,vldatabase,30,FALSE)</f>
        <v>6.5000000000000002E-2</v>
      </c>
      <c r="G24" s="79"/>
      <c r="H24" s="79">
        <f>VLOOKUP('Proxy Group Ticker'!B18,vldatabase,31,FALSE)</f>
        <v>6.8699999999999997E-2</v>
      </c>
      <c r="I24" s="446"/>
      <c r="J24" s="79">
        <f>'6'!Q24</f>
        <v>3.0370415663592203E-2</v>
      </c>
    </row>
    <row r="25" spans="1:10">
      <c r="A25" s="162">
        <f t="shared" si="0"/>
        <v>17</v>
      </c>
      <c r="B25" s="13" t="str">
        <f>'5 (1)'!B24</f>
        <v>Otter Tail Corp.</v>
      </c>
      <c r="C25" s="278"/>
      <c r="D25" s="79">
        <f>VLOOKUP('Proxy Group Ticker'!B19,vldatabase,19,FALSE)</f>
        <v>4.4999999999999998E-2</v>
      </c>
      <c r="F25" s="79" t="str">
        <f>VLOOKUP('Proxy Group Ticker'!B19,vldatabase,30,FALSE)</f>
        <v>n/a</v>
      </c>
      <c r="G25" s="79"/>
      <c r="H25" s="79" t="str">
        <f>VLOOKUP('Proxy Group Ticker'!B19,vldatabase,31,FALSE)</f>
        <v>n/a</v>
      </c>
      <c r="I25" s="446"/>
      <c r="J25" s="79">
        <f>'6'!Q25</f>
        <v>4.3952401471000935E-2</v>
      </c>
    </row>
    <row r="26" spans="1:10">
      <c r="A26" s="162">
        <f t="shared" si="0"/>
        <v>18</v>
      </c>
      <c r="B26" s="13" t="str">
        <f>'5 (1)'!B25</f>
        <v>Pinnacle West Capital</v>
      </c>
      <c r="C26" s="278"/>
      <c r="D26" s="79">
        <f>VLOOKUP('Proxy Group Ticker'!B20,vldatabase,19,FALSE)</f>
        <v>0.05</v>
      </c>
      <c r="F26" s="79">
        <f>VLOOKUP('Proxy Group Ticker'!B20,vldatabase,30,FALSE)</f>
        <v>2.1999999999999999E-2</v>
      </c>
      <c r="G26" s="79"/>
      <c r="H26" s="79">
        <f>VLOOKUP('Proxy Group Ticker'!B20,vldatabase,31,FALSE)</f>
        <v>2.12E-2</v>
      </c>
      <c r="I26" s="446"/>
      <c r="J26" s="79">
        <f>'6'!Q26</f>
        <v>4.1082225303249363E-2</v>
      </c>
    </row>
    <row r="27" spans="1:10">
      <c r="A27" s="162">
        <f t="shared" si="0"/>
        <v>19</v>
      </c>
      <c r="B27" s="13" t="str">
        <f>'5 (1)'!B26</f>
        <v>Pub Sv Enterprise Grp.</v>
      </c>
      <c r="C27" s="278"/>
      <c r="D27" s="79">
        <f>VLOOKUP('Proxy Group Ticker'!B21,vldatabase,19,FALSE)</f>
        <v>7.0000000000000007E-2</v>
      </c>
      <c r="F27" s="79">
        <f>VLOOKUP('Proxy Group Ticker'!B21,vldatabase,30,FALSE)</f>
        <v>8.5999999999999993E-2</v>
      </c>
      <c r="G27" s="79"/>
      <c r="H27" s="79">
        <f>VLOOKUP('Proxy Group Ticker'!B21,vldatabase,31,FALSE)</f>
        <v>6.8000000000000005E-2</v>
      </c>
      <c r="I27" s="446"/>
      <c r="J27" s="79">
        <f>'6'!Q27</f>
        <v>5.2404164042531162E-2</v>
      </c>
    </row>
    <row r="28" spans="1:10">
      <c r="A28" s="162">
        <f t="shared" si="0"/>
        <v>20</v>
      </c>
      <c r="B28" s="13" t="str">
        <f>'5 (1)'!B27</f>
        <v>Sempra</v>
      </c>
      <c r="C28" s="278"/>
      <c r="D28" s="79">
        <f>VLOOKUP('Proxy Group Ticker'!B22,vldatabase,19,FALSE)</f>
        <v>5.5E-2</v>
      </c>
      <c r="F28" s="79">
        <f>VLOOKUP('Proxy Group Ticker'!B22,vldatabase,30,FALSE)</f>
        <v>0.06</v>
      </c>
      <c r="G28" s="79"/>
      <c r="H28" s="79">
        <f>VLOOKUP('Proxy Group Ticker'!B22,vldatabase,31,FALSE)</f>
        <v>7.9399999999999998E-2</v>
      </c>
      <c r="I28" s="446"/>
      <c r="J28" s="79">
        <f>'6'!Q28</f>
        <v>5.584578548570724E-2</v>
      </c>
    </row>
    <row r="29" spans="1:10">
      <c r="B29" s="13"/>
      <c r="C29" s="278"/>
      <c r="D29" s="79"/>
      <c r="F29" s="79"/>
      <c r="G29" s="79"/>
      <c r="H29" s="79"/>
      <c r="I29" s="446"/>
      <c r="J29" s="79"/>
    </row>
    <row r="30" spans="1:10">
      <c r="B30" s="13"/>
      <c r="C30" s="278"/>
      <c r="D30" s="79"/>
      <c r="F30" s="79"/>
      <c r="G30" s="79"/>
      <c r="H30" s="79"/>
      <c r="I30" s="446"/>
      <c r="J30" s="79"/>
    </row>
    <row r="31" spans="1:10" s="295" customFormat="1" ht="14">
      <c r="A31" s="183" t="s">
        <v>21</v>
      </c>
      <c r="B31" s="297" t="str">
        <f>'Electric Utility Data'!B48</f>
        <v>The Value Line Investment Survey (Mar. 7, Apr. 18, and May 9, 2025).</v>
      </c>
      <c r="C31" s="447"/>
      <c r="D31" s="448"/>
      <c r="G31" s="448"/>
      <c r="H31" s="448"/>
      <c r="I31" s="448"/>
      <c r="J31" s="448"/>
    </row>
    <row r="32" spans="1:10" s="295" customFormat="1" ht="14">
      <c r="A32" s="183" t="s">
        <v>22</v>
      </c>
      <c r="B32" s="8" t="str">
        <f>'Electric Utility Data'!B51</f>
        <v>IBES growth rates from LSEG, as provided by www.fidelity.com (retreived May 20, 2025).</v>
      </c>
    </row>
    <row r="33" spans="1:10" s="295" customFormat="1" ht="14">
      <c r="A33" s="183" t="s">
        <v>23</v>
      </c>
      <c r="B33" s="8" t="str">
        <f>'Electric Utility Data'!B52</f>
        <v>www.zacks.com (retrieved May 20, 2025).</v>
      </c>
      <c r="C33" s="447"/>
      <c r="D33" s="448"/>
      <c r="G33" s="448"/>
      <c r="H33" s="448"/>
      <c r="I33" s="448"/>
      <c r="J33" s="448"/>
    </row>
    <row r="34" spans="1:10" s="295" customFormat="1" ht="14">
      <c r="A34" s="183" t="s">
        <v>24</v>
      </c>
      <c r="B34" s="8" t="str">
        <f>"See "&amp;'6'!Q1&amp; "."</f>
        <v>See Exhibit AMM-6.</v>
      </c>
      <c r="C34" s="447"/>
      <c r="D34" s="449"/>
      <c r="G34" s="448"/>
      <c r="H34" s="448"/>
      <c r="I34" s="448"/>
      <c r="J34" s="448"/>
    </row>
  </sheetData>
  <mergeCells count="1">
    <mergeCell ref="D7:H7"/>
  </mergeCells>
  <printOptions horizontalCentered="1"/>
  <pageMargins left="0.5" right="0.5" top="0.75" bottom="0.25" header="0.5" footer="0.5"/>
  <pageSetup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R42"/>
  <sheetViews>
    <sheetView view="pageBreakPreview" zoomScaleNormal="100" zoomScaleSheetLayoutView="100" workbookViewId="0"/>
  </sheetViews>
  <sheetFormatPr defaultColWidth="9.26953125" defaultRowHeight="15.5"/>
  <cols>
    <col min="1" max="1" width="4.54296875" style="162" customWidth="1"/>
    <col min="2" max="2" width="21.7265625" style="4" customWidth="1"/>
    <col min="3" max="3" width="10.26953125" style="4" customWidth="1"/>
    <col min="4" max="4" width="8.26953125" style="419" bestFit="1" customWidth="1"/>
    <col min="5" max="5" width="2.453125" style="180" customWidth="1"/>
    <col min="6" max="6" width="7.26953125" style="180" customWidth="1"/>
    <col min="7" max="7" width="2.453125" style="180" customWidth="1"/>
    <col min="8" max="8" width="7.1796875" style="180" customWidth="1"/>
    <col min="9" max="9" width="2.453125" style="4" customWidth="1"/>
    <col min="10" max="10" width="3.7265625" style="4" customWidth="1"/>
    <col min="11" max="11" width="7.7265625" style="4" customWidth="1"/>
    <col min="12" max="12" width="4.54296875" style="420" customWidth="1"/>
    <col min="13" max="14" width="9.26953125" style="4"/>
    <col min="15" max="18" width="8.453125" style="4" customWidth="1"/>
    <col min="19" max="16384" width="9.26953125" style="4"/>
  </cols>
  <sheetData>
    <row r="1" spans="1:18">
      <c r="A1" s="278" t="str">
        <f>'Exhibit List'!C10</f>
        <v>DCF MODEL - UTILITY GROUP</v>
      </c>
      <c r="L1" s="188" t="str">
        <f>'Exhibit List'!B10</f>
        <v>Exhibit AMM-5</v>
      </c>
    </row>
    <row r="2" spans="1:18">
      <c r="A2" s="278"/>
      <c r="B2" s="91"/>
      <c r="L2" s="188" t="s">
        <v>251</v>
      </c>
    </row>
    <row r="3" spans="1:18">
      <c r="A3" s="17" t="str">
        <f>'Exhibit List'!D10</f>
        <v>COST OF EQUITY ESTIMATES</v>
      </c>
      <c r="K3" s="188"/>
    </row>
    <row r="4" spans="1:18">
      <c r="A4" s="17"/>
      <c r="K4" s="188"/>
    </row>
    <row r="5" spans="1:18">
      <c r="A5" s="17"/>
      <c r="D5" s="81"/>
      <c r="K5" s="188"/>
      <c r="L5" s="188"/>
    </row>
    <row r="6" spans="1:18" s="180" customFormat="1">
      <c r="A6" s="162"/>
      <c r="D6" s="180" t="s">
        <v>21</v>
      </c>
      <c r="F6" s="180" t="s">
        <v>21</v>
      </c>
      <c r="G6" s="81"/>
      <c r="H6" s="180" t="s">
        <v>21</v>
      </c>
      <c r="K6" s="180" t="s">
        <v>21</v>
      </c>
      <c r="L6" s="421"/>
    </row>
    <row r="7" spans="1:18" ht="16.399999999999999" customHeight="1">
      <c r="B7" s="245"/>
      <c r="C7" s="245"/>
      <c r="D7" s="1449"/>
      <c r="E7" s="1449"/>
      <c r="F7" s="1449"/>
      <c r="G7" s="1449"/>
      <c r="H7" s="1449"/>
      <c r="I7" s="1449"/>
      <c r="J7" s="422"/>
      <c r="K7" s="423" t="s">
        <v>248</v>
      </c>
      <c r="L7" s="424"/>
    </row>
    <row r="8" spans="1:18">
      <c r="B8" s="275" t="s">
        <v>239</v>
      </c>
      <c r="C8" s="275"/>
      <c r="D8" s="191" t="s">
        <v>249</v>
      </c>
      <c r="E8" s="425"/>
      <c r="F8" s="426" t="s">
        <v>96</v>
      </c>
      <c r="G8" s="426"/>
      <c r="H8" s="426" t="s">
        <v>97</v>
      </c>
      <c r="I8" s="426"/>
      <c r="J8" s="426"/>
      <c r="K8" s="426" t="s">
        <v>250</v>
      </c>
      <c r="L8" s="424"/>
    </row>
    <row r="9" spans="1:18">
      <c r="A9" s="303">
        <f>A8+1</f>
        <v>1</v>
      </c>
      <c r="B9" s="13" t="str">
        <f>'5 (1)'!B8</f>
        <v>Alliant Energy</v>
      </c>
      <c r="C9" s="278"/>
      <c r="D9" s="316">
        <f>IF('5 (2)'!D9="n/a","n/a",'5 (1)'!$H8+'5 (2)'!D9)</f>
        <v>9.3318014705882357E-2</v>
      </c>
      <c r="E9" s="427"/>
      <c r="F9" s="316">
        <f>IF('5 (2)'!F9="n/a","n/a",'5 (1)'!$H8+'5 (2)'!F9)</f>
        <v>9.8318014705882362E-2</v>
      </c>
      <c r="G9" s="427"/>
      <c r="H9" s="316">
        <f>IF('5 (2)'!H9="n/a","n/a",'5 (1)'!$H8+'5 (2)'!H9)</f>
        <v>0.10061801470588236</v>
      </c>
      <c r="I9" s="428"/>
      <c r="J9" s="428"/>
      <c r="K9" s="316">
        <f>IF('5 (2)'!J9="n/a","n/a",'5 (1)'!$H8+'5 (2)'!J9)</f>
        <v>9.1569098937643506E-2</v>
      </c>
      <c r="L9" s="424"/>
      <c r="O9" s="79">
        <f>IF(D9="n/a","n/a",IF(D9&lt;$D$36,"LOW",IF(D9&gt;$D$37,"HIGH",D9)))</f>
        <v>9.3318014705882357E-2</v>
      </c>
      <c r="P9" s="79">
        <f>IF(F9="n/a","n/a",IF(F9&lt;$D$36,"LOW",IF(F9&gt;$D$37,"HIGH",F9)))</f>
        <v>9.8318014705882362E-2</v>
      </c>
      <c r="Q9" s="79">
        <f>IF(H9="n/a","n/a",IF(H9&lt;$D$36,"LOW",IF(H9&gt;$D$37,"HIGH",H9)))</f>
        <v>0.10061801470588236</v>
      </c>
      <c r="R9" s="79">
        <f>IF(K9="n/a","n/a",IF(K9&lt;$D$36,"LOW",IF(K9&gt;$D$37,"HIGH",K9)))</f>
        <v>9.1569098937643506E-2</v>
      </c>
    </row>
    <row r="10" spans="1:18">
      <c r="A10" s="303">
        <f t="shared" ref="A10:A28" si="0">A9+1</f>
        <v>2</v>
      </c>
      <c r="B10" s="13" t="str">
        <f>'5 (1)'!B9</f>
        <v>American Elec Pwr</v>
      </c>
      <c r="C10" s="278"/>
      <c r="D10" s="316">
        <f>IF('5 (2)'!D10="n/a","n/a",'5 (1)'!$H9+'5 (2)'!D10)</f>
        <v>0.10115615653712826</v>
      </c>
      <c r="E10" s="427"/>
      <c r="F10" s="316">
        <f>IF('5 (2)'!F10="n/a","n/a",'5 (1)'!$H9+'5 (2)'!F10)</f>
        <v>0.10015615653712825</v>
      </c>
      <c r="G10" s="427"/>
      <c r="H10" s="316">
        <f>IF('5 (2)'!H10="n/a","n/a",'5 (1)'!$H9+'5 (2)'!H10)</f>
        <v>0.10045615653712825</v>
      </c>
      <c r="I10" s="428"/>
      <c r="J10" s="428"/>
      <c r="K10" s="316">
        <f>IF('5 (2)'!J10="n/a","n/a",'5 (1)'!$H9+'5 (2)'!J10)</f>
        <v>9.6872022675459996E-2</v>
      </c>
      <c r="L10" s="424"/>
      <c r="O10" s="79">
        <f t="shared" ref="O10:O28" si="1">IF(D10="n/a","n/a",IF(D10&lt;$D$36,"LOW",IF(D10&gt;$D$37,"HIGH",D10)))</f>
        <v>0.10115615653712826</v>
      </c>
      <c r="P10" s="79">
        <f t="shared" ref="P10:P28" si="2">IF(F10="n/a","n/a",IF(F10&lt;$D$36,"LOW",IF(F10&gt;$D$37,"HIGH",F10)))</f>
        <v>0.10015615653712825</v>
      </c>
      <c r="Q10" s="79">
        <f t="shared" ref="Q10:Q28" si="3">IF(H10="n/a","n/a",IF(H10&lt;$D$36,"LOW",IF(H10&gt;$D$37,"HIGH",H10)))</f>
        <v>0.10045615653712825</v>
      </c>
      <c r="R10" s="79">
        <f t="shared" ref="R10:R28" si="4">IF(K10="n/a","n/a",IF(K10&lt;$D$36,"LOW",IF(K10&gt;$D$37,"HIGH",K10)))</f>
        <v>9.6872022675459996E-2</v>
      </c>
    </row>
    <row r="11" spans="1:18">
      <c r="A11" s="303">
        <f t="shared" si="0"/>
        <v>3</v>
      </c>
      <c r="B11" s="13" t="str">
        <f>'5 (1)'!B10</f>
        <v>Avista Corp.</v>
      </c>
      <c r="C11" s="278"/>
      <c r="D11" s="316">
        <f>IF('5 (2)'!D11="n/a","n/a",'5 (1)'!$H10+'5 (2)'!D11)</f>
        <v>0.10333618308562409</v>
      </c>
      <c r="E11" s="427"/>
      <c r="F11" s="316">
        <f>IF('5 (2)'!F11="n/a","n/a",'5 (1)'!$H10+'5 (2)'!F11)</f>
        <v>0.11733618308562409</v>
      </c>
      <c r="G11" s="427"/>
      <c r="H11" s="316">
        <f>IF('5 (2)'!H11="n/a","n/a",'5 (1)'!$H10+'5 (2)'!H11)</f>
        <v>0.10903618308562407</v>
      </c>
      <c r="I11" s="428"/>
      <c r="J11" s="428"/>
      <c r="K11" s="316">
        <f>IF('5 (2)'!J11="n/a","n/a",'5 (1)'!$H10+'5 (2)'!J11)</f>
        <v>7.532338788228897E-2</v>
      </c>
      <c r="L11" s="424"/>
      <c r="O11" s="79">
        <f t="shared" si="1"/>
        <v>0.10333618308562409</v>
      </c>
      <c r="P11" s="79">
        <f t="shared" si="2"/>
        <v>0.11733618308562409</v>
      </c>
      <c r="Q11" s="79">
        <f t="shared" si="3"/>
        <v>0.10903618308562407</v>
      </c>
      <c r="R11" s="79" t="str">
        <f t="shared" si="4"/>
        <v>LOW</v>
      </c>
    </row>
    <row r="12" spans="1:18">
      <c r="A12" s="303">
        <f t="shared" si="0"/>
        <v>4</v>
      </c>
      <c r="B12" s="13" t="str">
        <f>'5 (1)'!B11</f>
        <v>Black Hills Corp.</v>
      </c>
      <c r="C12" s="278"/>
      <c r="D12" s="316">
        <f>IF('5 (2)'!D12="n/a","n/a",'5 (1)'!$H11+'5 (2)'!D12)</f>
        <v>8.0342334626429562E-2</v>
      </c>
      <c r="E12" s="427"/>
      <c r="F12" s="316">
        <f>IF('5 (2)'!F12="n/a","n/a",'5 (1)'!$H11+'5 (2)'!F12)</f>
        <v>9.8342334626429551E-2</v>
      </c>
      <c r="G12" s="427"/>
      <c r="H12" s="316">
        <f>IF('5 (2)'!H12="n/a","n/a",'5 (1)'!$H11+'5 (2)'!H12)</f>
        <v>9.7942334626429553E-2</v>
      </c>
      <c r="I12" s="428"/>
      <c r="J12" s="428"/>
      <c r="K12" s="316">
        <f>IF('5 (2)'!J12="n/a","n/a",'5 (1)'!$H11+'5 (2)'!J12)</f>
        <v>8.7745564745669732E-2</v>
      </c>
      <c r="L12" s="424"/>
      <c r="O12" s="79">
        <f t="shared" si="1"/>
        <v>8.0342334626429562E-2</v>
      </c>
      <c r="P12" s="79">
        <f t="shared" si="2"/>
        <v>9.8342334626429551E-2</v>
      </c>
      <c r="Q12" s="79">
        <f t="shared" si="3"/>
        <v>9.7942334626429553E-2</v>
      </c>
      <c r="R12" s="79">
        <f t="shared" si="4"/>
        <v>8.7745564745669732E-2</v>
      </c>
    </row>
    <row r="13" spans="1:18">
      <c r="A13" s="303">
        <f t="shared" si="0"/>
        <v>5</v>
      </c>
      <c r="B13" s="13" t="str">
        <f>'5 (1)'!B12</f>
        <v>CenterPoint Energy</v>
      </c>
      <c r="C13" s="278"/>
      <c r="D13" s="316">
        <f>IF('5 (2)'!D13="n/a","n/a",'5 (1)'!$H12+'5 (2)'!D13)</f>
        <v>8.8502808763698843E-2</v>
      </c>
      <c r="E13" s="427"/>
      <c r="F13" s="316">
        <f>IF('5 (2)'!F13="n/a","n/a",'5 (1)'!$H12+'5 (2)'!F13)</f>
        <v>0.10350280876369886</v>
      </c>
      <c r="G13" s="427"/>
      <c r="H13" s="316">
        <f>IF('5 (2)'!H13="n/a","n/a",'5 (1)'!$H12+'5 (2)'!H13)</f>
        <v>0.10110280876369884</v>
      </c>
      <c r="I13" s="428"/>
      <c r="J13" s="428"/>
      <c r="K13" s="316">
        <f>IF('5 (2)'!J13="n/a","n/a",'5 (1)'!$H12+'5 (2)'!J13)</f>
        <v>7.104966869880186E-2</v>
      </c>
      <c r="L13" s="424"/>
      <c r="O13" s="79">
        <f t="shared" si="1"/>
        <v>8.8502808763698843E-2</v>
      </c>
      <c r="P13" s="79">
        <f t="shared" si="2"/>
        <v>0.10350280876369886</v>
      </c>
      <c r="Q13" s="79">
        <f t="shared" si="3"/>
        <v>0.10110280876369884</v>
      </c>
      <c r="R13" s="79" t="str">
        <f t="shared" si="4"/>
        <v>LOW</v>
      </c>
    </row>
    <row r="14" spans="1:18">
      <c r="A14" s="303">
        <f t="shared" si="0"/>
        <v>6</v>
      </c>
      <c r="B14" s="13" t="str">
        <f>'5 (1)'!B13</f>
        <v>CMS Energy Corp.</v>
      </c>
      <c r="C14" s="278"/>
      <c r="D14" s="316">
        <f>IF('5 (2)'!D14="n/a","n/a",'5 (1)'!$H13+'5 (2)'!D14)</f>
        <v>9.0056373012978252E-2</v>
      </c>
      <c r="E14" s="427"/>
      <c r="F14" s="316">
        <f>IF('5 (2)'!F14="n/a","n/a",'5 (1)'!$H13+'5 (2)'!F14)</f>
        <v>0.10705637301297825</v>
      </c>
      <c r="G14" s="427"/>
      <c r="H14" s="316">
        <f>IF('5 (2)'!H14="n/a","n/a",'5 (1)'!$H13+'5 (2)'!H14)</f>
        <v>0.10845637301297825</v>
      </c>
      <c r="I14" s="428"/>
      <c r="J14" s="428"/>
      <c r="K14" s="316">
        <f>IF('5 (2)'!J14="n/a","n/a",'5 (1)'!$H13+'5 (2)'!J14)</f>
        <v>8.9738737933402438E-2</v>
      </c>
      <c r="L14" s="424"/>
      <c r="O14" s="79">
        <f t="shared" si="1"/>
        <v>9.0056373012978252E-2</v>
      </c>
      <c r="P14" s="79">
        <f t="shared" si="2"/>
        <v>0.10705637301297825</v>
      </c>
      <c r="Q14" s="79">
        <f t="shared" si="3"/>
        <v>0.10845637301297825</v>
      </c>
      <c r="R14" s="79">
        <f t="shared" si="4"/>
        <v>8.9738737933402438E-2</v>
      </c>
    </row>
    <row r="15" spans="1:18">
      <c r="A15" s="303">
        <f t="shared" si="0"/>
        <v>7</v>
      </c>
      <c r="B15" s="13" t="str">
        <f>'5 (1)'!B14</f>
        <v>Dominion Energy</v>
      </c>
      <c r="C15" s="278"/>
      <c r="D15" s="316">
        <f>IF('5 (2)'!D15="n/a","n/a",'5 (1)'!$H14+'5 (2)'!D15)</f>
        <v>0.10966610242005989</v>
      </c>
      <c r="E15" s="427"/>
      <c r="F15" s="316">
        <f>IF('5 (2)'!F15="n/a","n/a",'5 (1)'!$H14+'5 (2)'!F15)</f>
        <v>0.20366610242005989</v>
      </c>
      <c r="G15" s="427"/>
      <c r="H15" s="316">
        <f>IF('5 (2)'!H15="n/a","n/a",'5 (1)'!$H14+'5 (2)'!H15)</f>
        <v>0.18556610242005989</v>
      </c>
      <c r="I15" s="428"/>
      <c r="J15" s="428"/>
      <c r="K15" s="316">
        <f>IF('5 (2)'!J15="n/a","n/a",'5 (1)'!$H14+'5 (2)'!J15)</f>
        <v>9.8758578675555528E-2</v>
      </c>
      <c r="L15" s="424"/>
      <c r="O15" s="79">
        <f t="shared" si="1"/>
        <v>0.10966610242005989</v>
      </c>
      <c r="P15" s="79" t="str">
        <f t="shared" si="2"/>
        <v>HIGH</v>
      </c>
      <c r="Q15" s="79" t="str">
        <f t="shared" si="3"/>
        <v>HIGH</v>
      </c>
      <c r="R15" s="79">
        <f t="shared" si="4"/>
        <v>9.8758578675555528E-2</v>
      </c>
    </row>
    <row r="16" spans="1:18">
      <c r="A16" s="303">
        <f t="shared" si="0"/>
        <v>8</v>
      </c>
      <c r="B16" s="13" t="str">
        <f>'5 (1)'!B15</f>
        <v>DTE Energy Co.</v>
      </c>
      <c r="C16" s="278"/>
      <c r="D16" s="316">
        <f>IF('5 (2)'!D16="n/a","n/a",'5 (1)'!$H15+'5 (2)'!D16)</f>
        <v>7.7459878052109521E-2</v>
      </c>
      <c r="E16" s="427"/>
      <c r="F16" s="316">
        <f>IF('5 (2)'!F16="n/a","n/a",'5 (1)'!$H15+'5 (2)'!F16)</f>
        <v>0.11145987805210952</v>
      </c>
      <c r="G16" s="427"/>
      <c r="H16" s="316">
        <f>IF('5 (2)'!H16="n/a","n/a",'5 (1)'!$H15+'5 (2)'!H16)</f>
        <v>0.10885987805210952</v>
      </c>
      <c r="I16" s="428"/>
      <c r="J16" s="428"/>
      <c r="K16" s="316">
        <f>IF('5 (2)'!J16="n/a","n/a",'5 (1)'!$H15+'5 (2)'!J16)</f>
        <v>0.10182511291499437</v>
      </c>
      <c r="L16" s="424"/>
      <c r="O16" s="79">
        <f t="shared" si="1"/>
        <v>7.7459878052109521E-2</v>
      </c>
      <c r="P16" s="79">
        <f t="shared" si="2"/>
        <v>0.11145987805210952</v>
      </c>
      <c r="Q16" s="79">
        <f t="shared" si="3"/>
        <v>0.10885987805210952</v>
      </c>
      <c r="R16" s="79">
        <f t="shared" si="4"/>
        <v>0.10182511291499437</v>
      </c>
    </row>
    <row r="17" spans="1:18">
      <c r="A17" s="303">
        <f t="shared" si="0"/>
        <v>9</v>
      </c>
      <c r="B17" s="13" t="str">
        <f>'5 (1)'!B16</f>
        <v>Duke Energy Corp.</v>
      </c>
      <c r="C17" s="278"/>
      <c r="D17" s="316">
        <f>IF('5 (2)'!D17="n/a","n/a",'5 (1)'!$H16+'5 (2)'!D17)</f>
        <v>9.5557543398652606E-2</v>
      </c>
      <c r="E17" s="427"/>
      <c r="F17" s="316">
        <f>IF('5 (2)'!F17="n/a","n/a",'5 (1)'!$H16+'5 (2)'!F17)</f>
        <v>0.10155754339865261</v>
      </c>
      <c r="G17" s="427"/>
      <c r="H17" s="316">
        <f>IF('5 (2)'!H17="n/a","n/a",'5 (1)'!$H16+'5 (2)'!H17)</f>
        <v>9.8857543398652603E-2</v>
      </c>
      <c r="I17" s="428"/>
      <c r="J17" s="428"/>
      <c r="K17" s="316">
        <f>IF('5 (2)'!J17="n/a","n/a",'5 (1)'!$H16+'5 (2)'!J17)</f>
        <v>7.6293634412890415E-2</v>
      </c>
      <c r="L17" s="424"/>
      <c r="O17" s="79">
        <f t="shared" si="1"/>
        <v>9.5557543398652606E-2</v>
      </c>
      <c r="P17" s="79">
        <f t="shared" si="2"/>
        <v>0.10155754339865261</v>
      </c>
      <c r="Q17" s="79">
        <f t="shared" si="3"/>
        <v>9.8857543398652603E-2</v>
      </c>
      <c r="R17" s="79">
        <f t="shared" si="4"/>
        <v>7.6293634412890415E-2</v>
      </c>
    </row>
    <row r="18" spans="1:18">
      <c r="A18" s="303">
        <f t="shared" si="0"/>
        <v>10</v>
      </c>
      <c r="B18" s="13" t="str">
        <f>'5 (1)'!B17</f>
        <v>Edison International</v>
      </c>
      <c r="C18" s="278"/>
      <c r="D18" s="316">
        <f>IF('5 (2)'!D18="n/a","n/a",'5 (1)'!$H17+'5 (2)'!D18)</f>
        <v>0.12550819788487474</v>
      </c>
      <c r="E18" s="427"/>
      <c r="F18" s="316">
        <f>IF('5 (2)'!F18="n/a","n/a",'5 (1)'!$H17+'5 (2)'!F18)</f>
        <v>0.16050819788487475</v>
      </c>
      <c r="G18" s="427"/>
      <c r="H18" s="316">
        <f>IF('5 (2)'!H18="n/a","n/a",'5 (1)'!$H17+'5 (2)'!H18)</f>
        <v>0.13060819788487474</v>
      </c>
      <c r="I18" s="428"/>
      <c r="J18" s="428"/>
      <c r="K18" s="316">
        <f>IF('5 (2)'!J18="n/a","n/a",'5 (1)'!$H17+'5 (2)'!J18)</f>
        <v>0.12276964765043491</v>
      </c>
      <c r="L18" s="424"/>
      <c r="O18" s="79">
        <f t="shared" si="1"/>
        <v>0.12550819788487474</v>
      </c>
      <c r="P18" s="79" t="str">
        <f t="shared" si="2"/>
        <v>HIGH</v>
      </c>
      <c r="Q18" s="79">
        <f t="shared" si="3"/>
        <v>0.13060819788487474</v>
      </c>
      <c r="R18" s="79">
        <f t="shared" si="4"/>
        <v>0.12276964765043491</v>
      </c>
    </row>
    <row r="19" spans="1:18">
      <c r="A19" s="303">
        <f t="shared" si="0"/>
        <v>11</v>
      </c>
      <c r="B19" s="13" t="str">
        <f>'5 (1)'!B18</f>
        <v>Entergy Corp.</v>
      </c>
      <c r="C19" s="278"/>
      <c r="D19" s="316">
        <f>IF('5 (2)'!D19="n/a","n/a",'5 (1)'!$H18+'5 (2)'!D19)</f>
        <v>5.9042914940562866E-2</v>
      </c>
      <c r="E19" s="427"/>
      <c r="F19" s="316">
        <f>IF('5 (2)'!F19="n/a","n/a",'5 (1)'!$H18+'5 (2)'!F19)</f>
        <v>0.12504291494056285</v>
      </c>
      <c r="G19" s="427"/>
      <c r="H19" s="316">
        <f>IF('5 (2)'!H19="n/a","n/a",'5 (1)'!$H18+'5 (2)'!H19)</f>
        <v>0.12364291494056287</v>
      </c>
      <c r="I19" s="428"/>
      <c r="J19" s="428"/>
      <c r="K19" s="316">
        <f>IF('5 (2)'!J19="n/a","n/a",'5 (1)'!$H18+'5 (2)'!J19)</f>
        <v>6.8291558245918427E-2</v>
      </c>
      <c r="L19" s="424"/>
      <c r="O19" s="79" t="str">
        <f t="shared" si="1"/>
        <v>LOW</v>
      </c>
      <c r="P19" s="79">
        <f t="shared" si="2"/>
        <v>0.12504291494056285</v>
      </c>
      <c r="Q19" s="79">
        <f t="shared" si="3"/>
        <v>0.12364291494056287</v>
      </c>
      <c r="R19" s="79" t="str">
        <f t="shared" si="4"/>
        <v>LOW</v>
      </c>
    </row>
    <row r="20" spans="1:18">
      <c r="A20" s="303">
        <f t="shared" si="0"/>
        <v>12</v>
      </c>
      <c r="B20" s="13" t="str">
        <f>'5 (1)'!B19</f>
        <v>Evergy Inc.</v>
      </c>
      <c r="C20" s="278"/>
      <c r="D20" s="316">
        <f>IF('5 (2)'!D20="n/a","n/a",'5 (1)'!$H19+'5 (2)'!D20)</f>
        <v>0.11530718737140619</v>
      </c>
      <c r="E20" s="427"/>
      <c r="F20" s="316">
        <f>IF('5 (2)'!F20="n/a","n/a",'5 (1)'!$H19+'5 (2)'!F20)</f>
        <v>0.1003071873714062</v>
      </c>
      <c r="G20" s="427"/>
      <c r="H20" s="316">
        <f>IF('5 (2)'!H20="n/a","n/a",'5 (1)'!$H19+'5 (2)'!H20)</f>
        <v>9.7307187371406201E-2</v>
      </c>
      <c r="I20" s="428"/>
      <c r="J20" s="428"/>
      <c r="K20" s="316">
        <f>IF('5 (2)'!J20="n/a","n/a",'5 (1)'!$H19+'5 (2)'!J20)</f>
        <v>7.7805087733070072E-2</v>
      </c>
      <c r="L20" s="424"/>
      <c r="O20" s="79">
        <f t="shared" si="1"/>
        <v>0.11530718737140619</v>
      </c>
      <c r="P20" s="79">
        <f t="shared" si="2"/>
        <v>0.1003071873714062</v>
      </c>
      <c r="Q20" s="79">
        <f t="shared" si="3"/>
        <v>9.7307187371406201E-2</v>
      </c>
      <c r="R20" s="79">
        <f t="shared" si="4"/>
        <v>7.7805087733070072E-2</v>
      </c>
    </row>
    <row r="21" spans="1:18">
      <c r="A21" s="303">
        <f t="shared" si="0"/>
        <v>13</v>
      </c>
      <c r="B21" s="13" t="str">
        <f>'5 (1)'!B20</f>
        <v>Eversource Energy</v>
      </c>
      <c r="C21" s="278"/>
      <c r="D21" s="316">
        <f>IF('5 (2)'!D21="n/a","n/a",'5 (1)'!$H20+'5 (2)'!D21)</f>
        <v>0.10649562427892056</v>
      </c>
      <c r="E21" s="427"/>
      <c r="F21" s="316">
        <f>IF('5 (2)'!F21="n/a","n/a",'5 (1)'!$H20+'5 (2)'!F21)</f>
        <v>0.10449562427892056</v>
      </c>
      <c r="G21" s="427"/>
      <c r="H21" s="316">
        <f>IF('5 (2)'!H21="n/a","n/a",'5 (1)'!$H20+'5 (2)'!H21)</f>
        <v>0.10809562427892055</v>
      </c>
      <c r="I21" s="428"/>
      <c r="J21" s="428"/>
      <c r="K21" s="316">
        <f>IF('5 (2)'!J21="n/a","n/a",'5 (1)'!$H20+'5 (2)'!J21)</f>
        <v>0.10088672668383764</v>
      </c>
      <c r="L21" s="424"/>
      <c r="O21" s="79">
        <f t="shared" si="1"/>
        <v>0.10649562427892056</v>
      </c>
      <c r="P21" s="79">
        <f t="shared" si="2"/>
        <v>0.10449562427892056</v>
      </c>
      <c r="Q21" s="79">
        <f t="shared" si="3"/>
        <v>0.10809562427892055</v>
      </c>
      <c r="R21" s="79">
        <f t="shared" si="4"/>
        <v>0.10088672668383764</v>
      </c>
    </row>
    <row r="22" spans="1:18">
      <c r="A22" s="303">
        <f t="shared" si="0"/>
        <v>14</v>
      </c>
      <c r="B22" s="13" t="str">
        <f>'5 (1)'!B21</f>
        <v>FirstEnergy Corp.</v>
      </c>
      <c r="C22" s="278"/>
      <c r="D22" s="316">
        <f>IF('5 (2)'!D22="n/a","n/a",'5 (1)'!$H21+'5 (2)'!D22)</f>
        <v>8.8043322306803229E-2</v>
      </c>
      <c r="E22" s="427"/>
      <c r="F22" s="316">
        <f>IF('5 (2)'!F22="n/a","n/a",'5 (1)'!$H21+'5 (2)'!F22)</f>
        <v>0.10204332230680324</v>
      </c>
      <c r="G22" s="427"/>
      <c r="H22" s="316">
        <f>IF('5 (2)'!H22="n/a","n/a",'5 (1)'!$H21+'5 (2)'!H22)</f>
        <v>0.10734332230680324</v>
      </c>
      <c r="I22" s="428"/>
      <c r="J22" s="428"/>
      <c r="K22" s="316">
        <f>IF('5 (2)'!J22="n/a","n/a",'5 (1)'!$H21+'5 (2)'!J22)</f>
        <v>9.5642170035977747E-2</v>
      </c>
      <c r="L22" s="424"/>
      <c r="O22" s="79">
        <f t="shared" si="1"/>
        <v>8.8043322306803229E-2</v>
      </c>
      <c r="P22" s="79">
        <f t="shared" si="2"/>
        <v>0.10204332230680324</v>
      </c>
      <c r="Q22" s="79">
        <f t="shared" si="3"/>
        <v>0.10734332230680324</v>
      </c>
      <c r="R22" s="79">
        <f t="shared" si="4"/>
        <v>9.5642170035977747E-2</v>
      </c>
    </row>
    <row r="23" spans="1:18">
      <c r="A23" s="303">
        <f t="shared" si="0"/>
        <v>15</v>
      </c>
      <c r="B23" s="13" t="str">
        <f>'5 (1)'!B22</f>
        <v>IDACORP, Inc.</v>
      </c>
      <c r="C23" s="278"/>
      <c r="D23" s="316">
        <f>IF('5 (2)'!D23="n/a","n/a",'5 (1)'!$H22+'5 (2)'!D23)</f>
        <v>8.9646312596235594E-2</v>
      </c>
      <c r="E23" s="427"/>
      <c r="F23" s="316">
        <f>IF('5 (2)'!F23="n/a","n/a",'5 (1)'!$H22+'5 (2)'!F23)</f>
        <v>0.10364631259623561</v>
      </c>
      <c r="G23" s="427"/>
      <c r="H23" s="316">
        <f>IF('5 (2)'!H23="n/a","n/a",'5 (1)'!$H22+'5 (2)'!H23)</f>
        <v>0.11094631259623561</v>
      </c>
      <c r="I23" s="428"/>
      <c r="J23" s="428"/>
      <c r="K23" s="316">
        <f>IF('5 (2)'!J23="n/a","n/a",'5 (1)'!$H22+'5 (2)'!J23)</f>
        <v>7.5845791601420992E-2</v>
      </c>
      <c r="L23" s="424"/>
      <c r="O23" s="79">
        <f t="shared" si="1"/>
        <v>8.9646312596235594E-2</v>
      </c>
      <c r="P23" s="79">
        <f t="shared" si="2"/>
        <v>0.10364631259623561</v>
      </c>
      <c r="Q23" s="79">
        <f t="shared" si="3"/>
        <v>0.11094631259623561</v>
      </c>
      <c r="R23" s="79">
        <f t="shared" si="4"/>
        <v>7.5845791601420992E-2</v>
      </c>
    </row>
    <row r="24" spans="1:18">
      <c r="A24" s="303">
        <f t="shared" si="0"/>
        <v>16</v>
      </c>
      <c r="B24" s="13" t="str">
        <f>'5 (1)'!B23</f>
        <v>NorthWestern Energy Grp.</v>
      </c>
      <c r="C24" s="278"/>
      <c r="D24" s="316">
        <f>IF('5 (2)'!D24="n/a","n/a",'5 (1)'!$H23+'5 (2)'!D24)</f>
        <v>9.1408452759697598E-2</v>
      </c>
      <c r="E24" s="427"/>
      <c r="F24" s="316">
        <f>IF('5 (2)'!F24="n/a","n/a",'5 (1)'!$H23+'5 (2)'!F24)</f>
        <v>0.1114084527596976</v>
      </c>
      <c r="G24" s="427"/>
      <c r="H24" s="316">
        <f>IF('5 (2)'!H24="n/a","n/a",'5 (1)'!$H23+'5 (2)'!H24)</f>
        <v>0.1151084527596976</v>
      </c>
      <c r="I24" s="428"/>
      <c r="J24" s="428"/>
      <c r="K24" s="316">
        <f>IF('5 (2)'!J24="n/a","n/a",'5 (1)'!$H23+'5 (2)'!J24)</f>
        <v>7.6778868423289806E-2</v>
      </c>
      <c r="L24" s="424"/>
      <c r="O24" s="79">
        <f t="shared" si="1"/>
        <v>9.1408452759697598E-2</v>
      </c>
      <c r="P24" s="79">
        <f t="shared" si="2"/>
        <v>0.1114084527596976</v>
      </c>
      <c r="Q24" s="79">
        <f t="shared" si="3"/>
        <v>0.1151084527596976</v>
      </c>
      <c r="R24" s="79">
        <f t="shared" si="4"/>
        <v>7.6778868423289806E-2</v>
      </c>
    </row>
    <row r="25" spans="1:18">
      <c r="A25" s="303">
        <f t="shared" si="0"/>
        <v>17</v>
      </c>
      <c r="B25" s="13" t="str">
        <f>'5 (1)'!B24</f>
        <v>Otter Tail Corp.</v>
      </c>
      <c r="C25" s="278"/>
      <c r="D25" s="316">
        <f>IF('5 (2)'!D25="n/a","n/a",'5 (1)'!$H24+'5 (2)'!D25)</f>
        <v>7.1811591118979626E-2</v>
      </c>
      <c r="E25" s="427"/>
      <c r="F25" s="316" t="str">
        <f>IF('5 (2)'!F25="n/a","n/a",'5 (1)'!$H24+'5 (2)'!F25)</f>
        <v>n/a</v>
      </c>
      <c r="G25" s="427"/>
      <c r="H25" s="316" t="str">
        <f>IF('5 (2)'!H25="n/a","n/a",'5 (1)'!$H24+'5 (2)'!H25)</f>
        <v>n/a</v>
      </c>
      <c r="I25" s="428"/>
      <c r="J25" s="428"/>
      <c r="K25" s="316">
        <f>IF('5 (2)'!J25="n/a","n/a",'5 (1)'!$H24+'5 (2)'!J25)</f>
        <v>7.0763992589980562E-2</v>
      </c>
      <c r="L25" s="424"/>
      <c r="O25" s="79" t="str">
        <f t="shared" si="1"/>
        <v>LOW</v>
      </c>
      <c r="P25" s="79" t="str">
        <f t="shared" si="2"/>
        <v>n/a</v>
      </c>
      <c r="Q25" s="79" t="str">
        <f t="shared" si="3"/>
        <v>n/a</v>
      </c>
      <c r="R25" s="79" t="str">
        <f t="shared" si="4"/>
        <v>LOW</v>
      </c>
    </row>
    <row r="26" spans="1:18">
      <c r="A26" s="303">
        <f t="shared" si="0"/>
        <v>18</v>
      </c>
      <c r="B26" s="13" t="str">
        <f>'5 (1)'!B25</f>
        <v>Pinnacle West Capital</v>
      </c>
      <c r="C26" s="278"/>
      <c r="D26" s="316">
        <f>IF('5 (2)'!D26="n/a","n/a",'5 (1)'!$H25+'5 (2)'!D26)</f>
        <v>8.8988810967268114E-2</v>
      </c>
      <c r="E26" s="427"/>
      <c r="F26" s="316">
        <f>IF('5 (2)'!F26="n/a","n/a",'5 (1)'!$H25+'5 (2)'!F26)</f>
        <v>6.098881096726811E-2</v>
      </c>
      <c r="G26" s="427"/>
      <c r="H26" s="316">
        <f>IF('5 (2)'!H26="n/a","n/a",'5 (1)'!$H25+'5 (2)'!H26)</f>
        <v>6.0188810967268108E-2</v>
      </c>
      <c r="I26" s="428"/>
      <c r="J26" s="428"/>
      <c r="K26" s="316">
        <f>IF('5 (2)'!J26="n/a","n/a",'5 (1)'!$H25+'5 (2)'!J26)</f>
        <v>8.0071036270517482E-2</v>
      </c>
      <c r="L26" s="424"/>
      <c r="O26" s="79">
        <f t="shared" si="1"/>
        <v>8.8988810967268114E-2</v>
      </c>
      <c r="P26" s="79" t="str">
        <f t="shared" si="2"/>
        <v>LOW</v>
      </c>
      <c r="Q26" s="79" t="str">
        <f t="shared" si="3"/>
        <v>LOW</v>
      </c>
      <c r="R26" s="79">
        <f t="shared" si="4"/>
        <v>8.0071036270517482E-2</v>
      </c>
    </row>
    <row r="27" spans="1:18">
      <c r="A27" s="303">
        <f t="shared" si="0"/>
        <v>19</v>
      </c>
      <c r="B27" s="13" t="str">
        <f>'5 (1)'!B26</f>
        <v>Pub Sv Enterprise Grp.</v>
      </c>
      <c r="C27" s="278"/>
      <c r="D27" s="316">
        <f>IF('5 (2)'!D27="n/a","n/a",'5 (1)'!$H26+'5 (2)'!D27)</f>
        <v>0.10188455135364038</v>
      </c>
      <c r="E27" s="427"/>
      <c r="F27" s="316">
        <f>IF('5 (2)'!F27="n/a","n/a",'5 (1)'!$H26+'5 (2)'!F27)</f>
        <v>0.11788455135364037</v>
      </c>
      <c r="G27" s="427"/>
      <c r="H27" s="316">
        <f>IF('5 (2)'!H27="n/a","n/a",'5 (1)'!$H26+'5 (2)'!H27)</f>
        <v>9.9884551353640383E-2</v>
      </c>
      <c r="I27" s="428"/>
      <c r="J27" s="428"/>
      <c r="K27" s="316">
        <f>IF('5 (2)'!J27="n/a","n/a",'5 (1)'!$H26+'5 (2)'!J27)</f>
        <v>8.4288715396171526E-2</v>
      </c>
      <c r="L27" s="424"/>
      <c r="O27" s="79">
        <f t="shared" si="1"/>
        <v>0.10188455135364038</v>
      </c>
      <c r="P27" s="79">
        <f t="shared" si="2"/>
        <v>0.11788455135364037</v>
      </c>
      <c r="Q27" s="79">
        <f t="shared" si="3"/>
        <v>9.9884551353640383E-2</v>
      </c>
      <c r="R27" s="79">
        <f t="shared" si="4"/>
        <v>8.4288715396171526E-2</v>
      </c>
    </row>
    <row r="28" spans="1:18">
      <c r="A28" s="303">
        <f t="shared" si="0"/>
        <v>20</v>
      </c>
      <c r="B28" s="13" t="str">
        <f>'5 (1)'!B27</f>
        <v>Sempra</v>
      </c>
      <c r="C28" s="278"/>
      <c r="D28" s="316">
        <f>IF('5 (2)'!D28="n/a","n/a",'5 (1)'!$H27+'5 (2)'!D28)</f>
        <v>9.036281148057787E-2</v>
      </c>
      <c r="E28" s="427"/>
      <c r="F28" s="316">
        <f>IF('5 (2)'!F28="n/a","n/a",'5 (1)'!$H27+'5 (2)'!F28)</f>
        <v>9.5362811480577861E-2</v>
      </c>
      <c r="G28" s="427"/>
      <c r="H28" s="316">
        <f>IF('5 (2)'!H28="n/a","n/a",'5 (1)'!$H27+'5 (2)'!H28)</f>
        <v>0.11476281148057786</v>
      </c>
      <c r="I28" s="428"/>
      <c r="J28" s="428"/>
      <c r="K28" s="316">
        <f>IF('5 (2)'!J28="n/a","n/a",'5 (1)'!$H27+'5 (2)'!J28)</f>
        <v>9.120859696628511E-2</v>
      </c>
      <c r="L28" s="424"/>
      <c r="O28" s="79">
        <f t="shared" si="1"/>
        <v>9.036281148057787E-2</v>
      </c>
      <c r="P28" s="79">
        <f t="shared" si="2"/>
        <v>9.5362811480577861E-2</v>
      </c>
      <c r="Q28" s="79">
        <f t="shared" si="3"/>
        <v>0.11476281148057786</v>
      </c>
      <c r="R28" s="79">
        <f t="shared" si="4"/>
        <v>9.120859696628511E-2</v>
      </c>
    </row>
    <row r="29" spans="1:18" ht="4" customHeight="1">
      <c r="B29" s="429"/>
      <c r="C29" s="278"/>
      <c r="D29" s="430"/>
      <c r="F29" s="430"/>
      <c r="G29" s="430"/>
      <c r="H29" s="430"/>
      <c r="I29" s="431"/>
      <c r="K29" s="432"/>
      <c r="L29" s="433"/>
      <c r="O29" s="18"/>
      <c r="P29" s="18"/>
      <c r="Q29" s="18"/>
      <c r="R29" s="18"/>
    </row>
    <row r="30" spans="1:18" s="7" customFormat="1">
      <c r="A30" s="278"/>
      <c r="B30" s="434" t="s">
        <v>252</v>
      </c>
      <c r="D30" s="435">
        <f>AVERAGE(O9:O28)</f>
        <v>9.6502259200110421E-2</v>
      </c>
      <c r="E30" s="226"/>
      <c r="F30" s="435">
        <f>AVERAGE(P9:P28)</f>
        <v>0.10612002932939675</v>
      </c>
      <c r="G30" s="203"/>
      <c r="H30" s="435">
        <f>AVERAGE(Q9:Q28)</f>
        <v>0.10782521571501308</v>
      </c>
      <c r="I30" s="436"/>
      <c r="K30" s="192">
        <f>AVERAGE(R9:R28)</f>
        <v>9.0506211941038819E-2</v>
      </c>
      <c r="L30" s="192"/>
      <c r="N30" s="4" t="s">
        <v>244</v>
      </c>
      <c r="O30" s="18">
        <f>MIN(O9:O28)</f>
        <v>7.7459878052109521E-2</v>
      </c>
      <c r="P30" s="18">
        <f>MIN(P9:P28)</f>
        <v>9.5362811480577861E-2</v>
      </c>
      <c r="Q30" s="18">
        <f>MIN(Q9:Q28)</f>
        <v>9.7307187371406201E-2</v>
      </c>
      <c r="R30" s="18">
        <f>MIN(R9:R28)</f>
        <v>7.5845791601420992E-2</v>
      </c>
    </row>
    <row r="31" spans="1:18">
      <c r="A31" s="284"/>
      <c r="B31" s="434"/>
      <c r="C31" s="278"/>
      <c r="D31" s="437"/>
      <c r="E31" s="226"/>
      <c r="F31" s="437"/>
      <c r="G31" s="437"/>
      <c r="H31" s="437"/>
      <c r="I31" s="192"/>
      <c r="J31" s="7"/>
      <c r="K31" s="436"/>
      <c r="L31" s="433"/>
      <c r="N31" s="4" t="s">
        <v>245</v>
      </c>
      <c r="O31" s="18">
        <f>MAX(O9:O28)</f>
        <v>0.12550819788487474</v>
      </c>
      <c r="P31" s="18">
        <f>MAX(P9:P28)</f>
        <v>0.12504291494056285</v>
      </c>
      <c r="Q31" s="18">
        <f>MAX(Q9:Q28)</f>
        <v>0.13060819788487474</v>
      </c>
      <c r="R31" s="18">
        <f>MAX(R9:R28)</f>
        <v>0.12276964765043491</v>
      </c>
    </row>
    <row r="32" spans="1:18">
      <c r="B32" s="162"/>
      <c r="C32" s="278"/>
      <c r="D32" s="430"/>
      <c r="F32" s="430"/>
      <c r="G32" s="430"/>
      <c r="H32" s="430"/>
      <c r="I32" s="431"/>
      <c r="K32" s="431"/>
      <c r="L32" s="433"/>
      <c r="N32" s="4" t="s">
        <v>131</v>
      </c>
      <c r="O32" s="18">
        <f>AVERAGE(O30,O31)</f>
        <v>0.10148403796849213</v>
      </c>
      <c r="P32" s="18">
        <f>AVERAGE(P30,P31)</f>
        <v>0.11020286321057035</v>
      </c>
      <c r="Q32" s="18">
        <f>AVERAGE(Q30,Q31)</f>
        <v>0.11395769262814047</v>
      </c>
      <c r="R32" s="18">
        <f>AVERAGE(R30,R31)</f>
        <v>9.9307719625927951E-2</v>
      </c>
    </row>
    <row r="33" spans="1:18" s="8" customFormat="1" ht="13">
      <c r="A33" s="296" t="s">
        <v>21</v>
      </c>
      <c r="B33" s="438" t="str">
        <f>"Sum of dividend yield (" &amp; L1 &amp; ", p. 1) and respective growth rate (" &amp; L1 &amp; ", p. 2)."</f>
        <v>Sum of dividend yield (Exhibit AMM-5, p. 1) and respective growth rate (Exhibit AMM-5, p. 2).</v>
      </c>
      <c r="C33" s="296"/>
      <c r="D33" s="439"/>
      <c r="E33" s="440"/>
      <c r="F33" s="440"/>
      <c r="G33" s="440"/>
      <c r="H33" s="440"/>
      <c r="I33" s="438"/>
      <c r="J33" s="438"/>
      <c r="K33" s="438"/>
      <c r="L33" s="441"/>
      <c r="N33" s="8" t="s">
        <v>1547</v>
      </c>
      <c r="O33" s="265">
        <f>MEDIAN(O9:O28)</f>
        <v>9.2363233732789984E-2</v>
      </c>
      <c r="P33" s="265">
        <f t="shared" ref="P33:R33" si="5">MEDIAN(P9:P28)</f>
        <v>0.10357456067996723</v>
      </c>
      <c r="Q33" s="265">
        <f t="shared" si="5"/>
        <v>0.10809562427892055</v>
      </c>
      <c r="R33" s="265">
        <f t="shared" si="5"/>
        <v>9.0473667449843781E-2</v>
      </c>
    </row>
    <row r="34" spans="1:18" s="8" customFormat="1" ht="13">
      <c r="A34" s="296" t="s">
        <v>22</v>
      </c>
      <c r="B34" s="438" t="s">
        <v>253</v>
      </c>
      <c r="C34" s="296"/>
      <c r="D34" s="439"/>
      <c r="E34" s="440"/>
      <c r="F34" s="440"/>
      <c r="G34" s="440"/>
      <c r="H34" s="440"/>
      <c r="I34" s="438"/>
      <c r="J34" s="438"/>
      <c r="K34" s="438"/>
      <c r="L34" s="441"/>
    </row>
    <row r="35" spans="1:18">
      <c r="B35" s="1"/>
      <c r="C35" s="162"/>
      <c r="D35" s="430"/>
      <c r="F35" s="430"/>
      <c r="H35" s="430"/>
      <c r="K35" s="430"/>
    </row>
    <row r="36" spans="1:18">
      <c r="B36" s="4" t="s">
        <v>254</v>
      </c>
      <c r="D36" s="405">
        <v>7.5399999999999995E-2</v>
      </c>
    </row>
    <row r="37" spans="1:18">
      <c r="B37" s="4" t="s">
        <v>255</v>
      </c>
      <c r="D37" s="430">
        <v>0.15989999999999999</v>
      </c>
    </row>
    <row r="38" spans="1:18">
      <c r="D38" s="430"/>
    </row>
    <row r="39" spans="1:18">
      <c r="B39" s="1297" t="s">
        <v>1924</v>
      </c>
      <c r="C39" s="1297"/>
      <c r="D39" s="1298">
        <f>'Bond Yields'!C14</f>
        <v>6.0600000000000001E-2</v>
      </c>
    </row>
    <row r="40" spans="1:18">
      <c r="B40" s="1297" t="s">
        <v>1925</v>
      </c>
      <c r="C40" s="1297"/>
      <c r="D40" s="1298">
        <f>'7'!G9</f>
        <v>7.1999999999999995E-2</v>
      </c>
    </row>
    <row r="41" spans="1:18">
      <c r="B41" s="1297" t="s">
        <v>1926</v>
      </c>
      <c r="C41" s="1297"/>
      <c r="D41" s="1298">
        <f>D40*0.2</f>
        <v>1.44E-2</v>
      </c>
    </row>
    <row r="42" spans="1:18">
      <c r="B42" s="4" t="s">
        <v>256</v>
      </c>
      <c r="D42" s="442">
        <f>SUM(D39,D41)</f>
        <v>7.4999999999999997E-2</v>
      </c>
      <c r="F42" s="18"/>
    </row>
  </sheetData>
  <mergeCells count="1">
    <mergeCell ref="D7:I7"/>
  </mergeCells>
  <conditionalFormatting sqref="D9:D28">
    <cfRule type="expression" dxfId="22" priority="25">
      <formula>O9="LOW"</formula>
    </cfRule>
    <cfRule type="expression" dxfId="21" priority="26">
      <formula>O9="HIGH"</formula>
    </cfRule>
  </conditionalFormatting>
  <conditionalFormatting sqref="F9:F28">
    <cfRule type="expression" dxfId="20" priority="5">
      <formula>P9="LOW"</formula>
    </cfRule>
    <cfRule type="expression" dxfId="19" priority="6">
      <formula>P9="HIGH"</formula>
    </cfRule>
  </conditionalFormatting>
  <conditionalFormatting sqref="H9:H28">
    <cfRule type="expression" dxfId="18" priority="3">
      <formula>Q9="LOW"</formula>
    </cfRule>
    <cfRule type="expression" dxfId="17" priority="4">
      <formula>Q9="HIGH"</formula>
    </cfRule>
  </conditionalFormatting>
  <conditionalFormatting sqref="K9:K28">
    <cfRule type="expression" dxfId="16" priority="1">
      <formula>R9="LOW"</formula>
    </cfRule>
    <cfRule type="expression" dxfId="15" priority="2">
      <formula>R9="HIGH"</formula>
    </cfRule>
  </conditionalFormatting>
  <printOptions horizontalCentered="1"/>
  <pageMargins left="0.5" right="0.5" top="0.75" bottom="0.25" header="0.5" footer="0.5"/>
  <pageSetup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
  <dimension ref="A1:AH40"/>
  <sheetViews>
    <sheetView view="pageBreakPreview" zoomScaleNormal="100" zoomScaleSheetLayoutView="100" workbookViewId="0"/>
  </sheetViews>
  <sheetFormatPr defaultColWidth="9.26953125" defaultRowHeight="15.5"/>
  <cols>
    <col min="1" max="1" width="4.1796875" style="57" bestFit="1" customWidth="1"/>
    <col min="2" max="2" width="24.81640625" style="57" bestFit="1" customWidth="1"/>
    <col min="3" max="3" width="8.453125" style="57" customWidth="1"/>
    <col min="4" max="4" width="7.7265625" style="57" customWidth="1"/>
    <col min="5" max="5" width="9.26953125" style="57" customWidth="1"/>
    <col min="6" max="6" width="2" style="391" customWidth="1"/>
    <col min="7" max="7" width="7.81640625" style="57" customWidth="1"/>
    <col min="8" max="8" width="7.81640625" style="391" customWidth="1"/>
    <col min="9" max="9" width="11.7265625" style="391" customWidth="1"/>
    <col min="10" max="10" width="10.7265625" style="57" customWidth="1"/>
    <col min="11" max="11" width="8" style="57" customWidth="1"/>
    <col min="12" max="12" width="2" style="57" customWidth="1"/>
    <col min="13" max="13" width="9.81640625" style="391" customWidth="1"/>
    <col min="14" max="14" width="9.453125" style="57" customWidth="1"/>
    <col min="15" max="15" width="8.54296875" style="391" customWidth="1"/>
    <col min="16" max="16" width="2" style="57" customWidth="1"/>
    <col min="17" max="17" width="7.26953125" style="57" customWidth="1"/>
    <col min="18" max="18" width="4.1796875" style="402" bestFit="1" customWidth="1"/>
    <col min="19" max="19" width="25.1796875" style="57" customWidth="1"/>
    <col min="20" max="20" width="9.26953125" style="391" customWidth="1"/>
    <col min="21" max="21" width="11" style="391" customWidth="1"/>
    <col min="22" max="22" width="9.81640625" style="57" bestFit="1" customWidth="1"/>
    <col min="23" max="23" width="0.7265625" style="57" customWidth="1"/>
    <col min="24" max="24" width="9.81640625" style="57" bestFit="1" customWidth="1"/>
    <col min="25" max="25" width="10.54296875" style="57" bestFit="1" customWidth="1"/>
    <col min="26" max="26" width="10.1796875" style="57" customWidth="1"/>
    <col min="27" max="27" width="7.81640625" style="57" bestFit="1" customWidth="1"/>
    <col min="28" max="28" width="8.7265625" style="57" customWidth="1"/>
    <col min="29" max="29" width="8.54296875" style="57" customWidth="1"/>
    <col min="30" max="30" width="8.7265625" style="57" customWidth="1"/>
    <col min="31" max="31" width="7.7265625" style="57" customWidth="1"/>
    <col min="32" max="33" width="7.54296875" style="57" bestFit="1" customWidth="1"/>
    <col min="34" max="34" width="8.26953125" style="57" customWidth="1"/>
    <col min="35" max="35" width="9.26953125" style="57" customWidth="1"/>
    <col min="36" max="16384" width="9.26953125" style="57"/>
  </cols>
  <sheetData>
    <row r="1" spans="1:34">
      <c r="A1" s="331" t="str">
        <f>'Exhibit List'!$C$11</f>
        <v>BR+SV GROWTH RATE</v>
      </c>
      <c r="Q1" s="357" t="str">
        <f>'Exhibit List'!$B$11</f>
        <v>Exhibit AMM-6</v>
      </c>
      <c r="R1" s="331" t="str">
        <f>A1</f>
        <v>BR+SV GROWTH RATE</v>
      </c>
      <c r="T1" s="392"/>
      <c r="U1" s="393"/>
      <c r="AH1" s="357" t="str">
        <f>Q1</f>
        <v>Exhibit AMM-6</v>
      </c>
    </row>
    <row r="2" spans="1:34">
      <c r="A2" s="331"/>
      <c r="B2" s="91"/>
      <c r="Q2" s="357" t="s">
        <v>257</v>
      </c>
      <c r="R2" s="331"/>
      <c r="S2" s="91"/>
      <c r="T2" s="392"/>
      <c r="U2" s="393"/>
      <c r="AH2" s="357" t="s">
        <v>258</v>
      </c>
    </row>
    <row r="3" spans="1:34">
      <c r="A3" s="335" t="str">
        <f>'Exhibit List'!$D$11</f>
        <v>UTILITY GROUP</v>
      </c>
      <c r="R3" s="335" t="str">
        <f>A3</f>
        <v>UTILITY GROUP</v>
      </c>
      <c r="T3" s="392"/>
      <c r="U3" s="393"/>
    </row>
    <row r="4" spans="1:34">
      <c r="A4" s="335"/>
      <c r="Q4" s="357"/>
      <c r="R4" s="335"/>
      <c r="T4" s="392"/>
      <c r="U4" s="393"/>
      <c r="AH4" s="357"/>
    </row>
    <row r="5" spans="1:34">
      <c r="A5" s="331"/>
      <c r="R5" s="394"/>
      <c r="T5" s="392"/>
      <c r="U5" s="393"/>
    </row>
    <row r="6" spans="1:34">
      <c r="B6" s="395"/>
      <c r="C6" s="391" t="s">
        <v>21</v>
      </c>
      <c r="D6" s="391" t="s">
        <v>21</v>
      </c>
      <c r="E6" s="391" t="s">
        <v>21</v>
      </c>
      <c r="G6" s="391" t="s">
        <v>22</v>
      </c>
      <c r="H6" s="391" t="s">
        <v>23</v>
      </c>
      <c r="I6" s="391" t="s">
        <v>24</v>
      </c>
      <c r="J6" s="391" t="s">
        <v>25</v>
      </c>
      <c r="K6" s="396"/>
      <c r="M6" s="397" t="s">
        <v>26</v>
      </c>
      <c r="N6" s="397" t="s">
        <v>27</v>
      </c>
      <c r="O6" s="397"/>
      <c r="Q6" s="396"/>
      <c r="R6" s="398"/>
      <c r="T6" s="391" t="s">
        <v>21</v>
      </c>
      <c r="U6" s="391" t="s">
        <v>21</v>
      </c>
      <c r="V6" s="391" t="s">
        <v>28</v>
      </c>
      <c r="W6" s="391"/>
      <c r="X6" s="391" t="s">
        <v>21</v>
      </c>
      <c r="Y6" s="391" t="s">
        <v>21</v>
      </c>
      <c r="Z6" s="391" t="s">
        <v>28</v>
      </c>
      <c r="AA6" s="391" t="s">
        <v>29</v>
      </c>
      <c r="AB6" s="391" t="s">
        <v>21</v>
      </c>
      <c r="AC6" s="391" t="s">
        <v>21</v>
      </c>
      <c r="AD6" s="391"/>
      <c r="AE6" s="391" t="s">
        <v>30</v>
      </c>
      <c r="AF6" s="391" t="s">
        <v>21</v>
      </c>
      <c r="AG6" s="391" t="s">
        <v>21</v>
      </c>
      <c r="AH6" s="391" t="s">
        <v>29</v>
      </c>
    </row>
    <row r="7" spans="1:34">
      <c r="B7" s="359"/>
      <c r="C7" s="1451">
        <v>2029</v>
      </c>
      <c r="D7" s="1451"/>
      <c r="E7" s="1451"/>
      <c r="F7" s="399"/>
      <c r="G7" s="399"/>
      <c r="H7" s="399"/>
      <c r="I7" s="400" t="s">
        <v>259</v>
      </c>
      <c r="J7" s="401"/>
      <c r="K7" s="401"/>
      <c r="L7" s="359"/>
      <c r="M7" s="1452" t="s">
        <v>260</v>
      </c>
      <c r="N7" s="1452"/>
      <c r="O7" s="1452"/>
      <c r="P7" s="359"/>
      <c r="Q7" s="401"/>
      <c r="S7" s="359"/>
      <c r="T7" s="1453">
        <v>2029</v>
      </c>
      <c r="U7" s="1453"/>
      <c r="V7" s="1453"/>
      <c r="W7" s="401"/>
      <c r="X7" s="1453">
        <v>2029</v>
      </c>
      <c r="Y7" s="1453"/>
      <c r="Z7" s="1453"/>
      <c r="AA7" s="401" t="s">
        <v>261</v>
      </c>
      <c r="AB7" s="1453">
        <v>2029</v>
      </c>
      <c r="AC7" s="1453"/>
      <c r="AD7" s="1453"/>
      <c r="AE7" s="359"/>
      <c r="AF7" s="1450" t="s">
        <v>262</v>
      </c>
      <c r="AG7" s="1450"/>
      <c r="AH7" s="1450"/>
    </row>
    <row r="8" spans="1:34">
      <c r="B8" s="358" t="s">
        <v>263</v>
      </c>
      <c r="C8" s="403" t="s">
        <v>264</v>
      </c>
      <c r="D8" s="403" t="s">
        <v>265</v>
      </c>
      <c r="E8" s="403" t="s">
        <v>266</v>
      </c>
      <c r="F8" s="399"/>
      <c r="G8" s="403" t="s">
        <v>267</v>
      </c>
      <c r="H8" s="403" t="s">
        <v>268</v>
      </c>
      <c r="I8" s="403" t="s">
        <v>269</v>
      </c>
      <c r="J8" s="403" t="s">
        <v>270</v>
      </c>
      <c r="K8" s="403" t="s">
        <v>271</v>
      </c>
      <c r="L8" s="359"/>
      <c r="M8" s="403" t="s">
        <v>272</v>
      </c>
      <c r="N8" s="403" t="s">
        <v>273</v>
      </c>
      <c r="O8" s="403" t="s">
        <v>274</v>
      </c>
      <c r="P8" s="359"/>
      <c r="Q8" s="403" t="s">
        <v>132</v>
      </c>
      <c r="S8" s="358" t="s">
        <v>263</v>
      </c>
      <c r="T8" s="403" t="s">
        <v>275</v>
      </c>
      <c r="U8" s="403" t="s">
        <v>276</v>
      </c>
      <c r="V8" s="403" t="s">
        <v>277</v>
      </c>
      <c r="W8" s="403"/>
      <c r="X8" s="403" t="s">
        <v>275</v>
      </c>
      <c r="Y8" s="403" t="s">
        <v>276</v>
      </c>
      <c r="Z8" s="403" t="s">
        <v>277</v>
      </c>
      <c r="AA8" s="403" t="s">
        <v>278</v>
      </c>
      <c r="AB8" s="403" t="s">
        <v>279</v>
      </c>
      <c r="AC8" s="403" t="s">
        <v>280</v>
      </c>
      <c r="AD8" s="403" t="s">
        <v>281</v>
      </c>
      <c r="AE8" s="403" t="s">
        <v>282</v>
      </c>
      <c r="AF8" s="403">
        <v>2024</v>
      </c>
      <c r="AG8" s="403">
        <v>2029</v>
      </c>
      <c r="AH8" s="403" t="s">
        <v>250</v>
      </c>
    </row>
    <row r="9" spans="1:34">
      <c r="A9" s="398">
        <f>A8+1</f>
        <v>1</v>
      </c>
      <c r="B9" s="13" t="str">
        <f>'Proxy Group Ticker'!C3</f>
        <v>Alliant Energy</v>
      </c>
      <c r="C9" s="404">
        <f>VLOOKUP('Proxy Group Ticker'!$B3,vldatabase,7,FALSE)</f>
        <v>4.25</v>
      </c>
      <c r="D9" s="404">
        <f>VLOOKUP('Proxy Group Ticker'!$B3,vldatabase,8,FALSE)</f>
        <v>2.4300000000000002</v>
      </c>
      <c r="E9" s="404">
        <f>VLOOKUP('Proxy Group Ticker'!$B3,vldatabase,9,FALSE)</f>
        <v>31.9</v>
      </c>
      <c r="G9" s="405">
        <f>IF(E9="n/a", "n/a",+(C9-D9)/C9)</f>
        <v>0.42823529411764705</v>
      </c>
      <c r="H9" s="405">
        <f>IF(E9="n/a","n/a",C9/E9)</f>
        <v>0.13322884012539185</v>
      </c>
      <c r="I9" s="406">
        <f>IF(AA9="n/a","n/a",2*(1+AA9)/(2+AA9))</f>
        <v>1.0156087579797128</v>
      </c>
      <c r="J9" s="407">
        <f>IF(H9="n/a","n/a",H9*I9)</f>
        <v>0.13530837684682695</v>
      </c>
      <c r="K9" s="407">
        <f>IF(G9="n/a","n/a",G9*J9)</f>
        <v>5.7943822555582364E-2</v>
      </c>
      <c r="M9" s="408">
        <f>IF(AE9="n/a","n/a",AE9*AH9)</f>
        <v>5.486815646049692E-4</v>
      </c>
      <c r="N9" s="408">
        <f>IF(AE9="n/a","n/a",1-1/AE9)</f>
        <v>0.56000000000000005</v>
      </c>
      <c r="O9" s="397">
        <f>IF(M9="n/a","n/a",M9*N9)</f>
        <v>3.072616761787828E-4</v>
      </c>
      <c r="Q9" s="407">
        <f>IF(K9="n/a","n/a",K9+O9)</f>
        <v>5.8251084231761147E-2</v>
      </c>
      <c r="R9" s="398">
        <f>A9</f>
        <v>1</v>
      </c>
      <c r="S9" s="14" t="str">
        <f>B9</f>
        <v>Alliant Energy</v>
      </c>
      <c r="T9" s="409">
        <f>VLOOKUP('Proxy Group Ticker'!$B3,vldatabase,14,FALSE)</f>
        <v>0.44700000000000001</v>
      </c>
      <c r="U9" s="410">
        <f>VLOOKUP('Proxy Group Ticker'!$B3,vldatabase,16,FALSE)</f>
        <v>15681</v>
      </c>
      <c r="V9" s="410">
        <f>IF(U9="n/a","n/a",T9*U9)</f>
        <v>7009.4070000000002</v>
      </c>
      <c r="W9" s="411"/>
      <c r="X9" s="409">
        <f>VLOOKUP('Proxy Group Ticker'!$B3,vldatabase,15,FALSE)</f>
        <v>0.48</v>
      </c>
      <c r="Y9" s="410">
        <f>VLOOKUP('Proxy Group Ticker'!$B3,vldatabase,17,FALSE)</f>
        <v>17070</v>
      </c>
      <c r="Z9" s="410">
        <f>IF(Y9="n/a","n/a",X9*Y9)</f>
        <v>8193.6</v>
      </c>
      <c r="AA9" s="407">
        <f>IF(V9="n/a","n/a",(+Z9/V9)^(1/5)-1)</f>
        <v>3.1712508834756958E-2</v>
      </c>
      <c r="AB9" s="412">
        <f>VLOOKUP('Proxy Group Ticker'!$B3,vldatabase,5,FALSE)</f>
        <v>80</v>
      </c>
      <c r="AC9" s="412">
        <f>VLOOKUP('Proxy Group Ticker'!$B3,vldatabase,6,FALSE)</f>
        <v>65</v>
      </c>
      <c r="AD9" s="413">
        <f>IF(AB9="n/a","n/a",AVERAGE(AB9:AC9))</f>
        <v>72.5</v>
      </c>
      <c r="AE9" s="414">
        <f>IF(AD9="n/a","n/a",AD9/E9)</f>
        <v>2.2727272727272729</v>
      </c>
      <c r="AF9" s="415">
        <f>VLOOKUP('Proxy Group Ticker'!$B3,vldatabase,10,FALSE)</f>
        <v>256.69</v>
      </c>
      <c r="AG9" s="415">
        <f>VLOOKUP('Proxy Group Ticker'!$B3,vldatabase,11,FALSE)</f>
        <v>257</v>
      </c>
      <c r="AH9" s="397">
        <f>IF(AF9="n/a","n/a",(+AG9/AF9)^(1/5)-1)</f>
        <v>2.4141988842618645E-4</v>
      </c>
    </row>
    <row r="10" spans="1:34">
      <c r="A10" s="398">
        <f t="shared" ref="A10:A28" si="0">A9+1</f>
        <v>2</v>
      </c>
      <c r="B10" s="13" t="str">
        <f>'Proxy Group Ticker'!C4</f>
        <v>American Elec Pwr</v>
      </c>
      <c r="C10" s="404">
        <f>VLOOKUP('Proxy Group Ticker'!$B4,vldatabase,7,FALSE)</f>
        <v>7.5</v>
      </c>
      <c r="D10" s="404">
        <f>VLOOKUP('Proxy Group Ticker'!$B4,vldatabase,8,FALSE)</f>
        <v>4.3099999999999996</v>
      </c>
      <c r="E10" s="404">
        <f>VLOOKUP('Proxy Group Ticker'!$B4,vldatabase,9,FALSE)</f>
        <v>60.9</v>
      </c>
      <c r="G10" s="405">
        <f t="shared" ref="G10:G28" si="1">IF(E10="n/a", "n/a",+(C10-D10)/C10)</f>
        <v>0.4253333333333334</v>
      </c>
      <c r="H10" s="405">
        <f t="shared" ref="H10:H28" si="2">IF(E10="n/a","n/a",C10/E10)</f>
        <v>0.12315270935960591</v>
      </c>
      <c r="I10" s="406">
        <f t="shared" ref="I10:I28" si="3">IF(AA10="n/a","n/a",2*(1+AA10)/(2+AA10))</f>
        <v>1.0119224421893764</v>
      </c>
      <c r="J10" s="407">
        <f t="shared" ref="J10:J28" si="4">IF(H10="n/a","n/a",H10*I10)</f>
        <v>0.1246209904174109</v>
      </c>
      <c r="K10" s="407">
        <f t="shared" ref="K10:K28" si="5">IF(G10="n/a","n/a",G10*J10)</f>
        <v>5.3005461257538779E-2</v>
      </c>
      <c r="M10" s="408">
        <f t="shared" ref="M10:M28" si="6">IF(AE10="n/a","n/a",AE10*AH10)</f>
        <v>1.4047296341525659E-2</v>
      </c>
      <c r="N10" s="408">
        <f t="shared" ref="N10:N28" si="7">IF(AE10="n/a","n/a",1-1/AE10)</f>
        <v>0.54888888888888898</v>
      </c>
      <c r="O10" s="397">
        <f t="shared" ref="O10:O28" si="8">IF(M10="n/a","n/a",M10*N10)</f>
        <v>7.7104048807929738E-3</v>
      </c>
      <c r="Q10" s="407">
        <f t="shared" ref="Q10:Q28" si="9">IF(K10="n/a","n/a",K10+O10)</f>
        <v>6.0715866138331756E-2</v>
      </c>
      <c r="R10" s="398">
        <f t="shared" ref="R10:R28" si="10">A10</f>
        <v>2</v>
      </c>
      <c r="S10" s="14" t="str">
        <f t="shared" ref="S10:S28" si="11">B10</f>
        <v>American Elec Pwr</v>
      </c>
      <c r="T10" s="409">
        <f>VLOOKUP('Proxy Group Ticker'!$B4,vldatabase,14,FALSE)</f>
        <v>0.42399999999999999</v>
      </c>
      <c r="U10" s="410">
        <f>VLOOKUP('Proxy Group Ticker'!$B4,vldatabase,16,FALSE)</f>
        <v>67528</v>
      </c>
      <c r="V10" s="410">
        <f t="shared" ref="V10:V28" si="12">IF(U10="n/a","n/a",T10*U10)</f>
        <v>28631.871999999999</v>
      </c>
      <c r="W10" s="411"/>
      <c r="X10" s="409">
        <f>VLOOKUP('Proxy Group Ticker'!$B4,vldatabase,15,FALSE)</f>
        <v>0.42499999999999999</v>
      </c>
      <c r="Y10" s="410">
        <f>VLOOKUP('Proxy Group Ticker'!$B4,vldatabase,17,FALSE)</f>
        <v>75900</v>
      </c>
      <c r="Z10" s="410">
        <f t="shared" ref="Z10:Z28" si="13">IF(Y10="n/a","n/a",X10*Y10)</f>
        <v>32257.5</v>
      </c>
      <c r="AA10" s="407">
        <f t="shared" ref="AA10:AA28" si="14">IF(V10="n/a","n/a",(+Z10/V10)^(1/5)-1)</f>
        <v>2.4132603954276854E-2</v>
      </c>
      <c r="AB10" s="412">
        <f>VLOOKUP('Proxy Group Ticker'!$B4,vldatabase,5,FALSE)</f>
        <v>150</v>
      </c>
      <c r="AC10" s="412">
        <f>VLOOKUP('Proxy Group Ticker'!$B4,vldatabase,6,FALSE)</f>
        <v>120</v>
      </c>
      <c r="AD10" s="413">
        <f t="shared" ref="AD10:AD28" si="15">IF(AB10="n/a","n/a",AVERAGE(AB10:AC10))</f>
        <v>135</v>
      </c>
      <c r="AE10" s="414">
        <f t="shared" ref="AE10:AE28" si="16">IF(AD10="n/a","n/a",AD10/E10)</f>
        <v>2.2167487684729066</v>
      </c>
      <c r="AF10" s="415">
        <f>VLOOKUP('Proxy Group Ticker'!$B4,vldatabase,10,FALSE)</f>
        <v>532.9</v>
      </c>
      <c r="AG10" s="415">
        <f>VLOOKUP('Proxy Group Ticker'!$B4,vldatabase,11,FALSE)</f>
        <v>550</v>
      </c>
      <c r="AH10" s="397">
        <f t="shared" ref="AH10:AH28" si="17">IF(AF10="n/a","n/a",(+AG10/AF10)^(1/5)-1)</f>
        <v>6.3368914607326854E-3</v>
      </c>
    </row>
    <row r="11" spans="1:34">
      <c r="A11" s="398">
        <f t="shared" si="0"/>
        <v>3</v>
      </c>
      <c r="B11" s="13" t="str">
        <f>'Proxy Group Ticker'!C5</f>
        <v>Avista Corp.</v>
      </c>
      <c r="C11" s="404">
        <f>VLOOKUP('Proxy Group Ticker'!$B5,vldatabase,7,FALSE)</f>
        <v>2.95</v>
      </c>
      <c r="D11" s="404">
        <f>VLOOKUP('Proxy Group Ticker'!$B5,vldatabase,8,FALSE)</f>
        <v>2.2000000000000002</v>
      </c>
      <c r="E11" s="404">
        <f>VLOOKUP('Proxy Group Ticker'!$B5,vldatabase,9,FALSE)</f>
        <v>35.75</v>
      </c>
      <c r="G11" s="405">
        <f t="shared" si="1"/>
        <v>0.25423728813559321</v>
      </c>
      <c r="H11" s="405">
        <f t="shared" si="2"/>
        <v>8.2517482517482518E-2</v>
      </c>
      <c r="I11" s="406">
        <f t="shared" si="3"/>
        <v>1.0162117079630499</v>
      </c>
      <c r="J11" s="407">
        <f t="shared" si="4"/>
        <v>8.3855231845902017E-2</v>
      </c>
      <c r="K11" s="407">
        <f t="shared" si="5"/>
        <v>2.1319126740483564E-2</v>
      </c>
      <c r="M11" s="408">
        <f t="shared" si="6"/>
        <v>1.7765617788031002E-2</v>
      </c>
      <c r="N11" s="408">
        <f t="shared" si="7"/>
        <v>0.31904761904761902</v>
      </c>
      <c r="O11" s="397">
        <f t="shared" si="8"/>
        <v>5.6680780561813192E-3</v>
      </c>
      <c r="Q11" s="407">
        <f t="shared" si="9"/>
        <v>2.6987204796664884E-2</v>
      </c>
      <c r="R11" s="398">
        <f t="shared" si="10"/>
        <v>3</v>
      </c>
      <c r="S11" s="14" t="str">
        <f t="shared" si="11"/>
        <v>Avista Corp.</v>
      </c>
      <c r="T11" s="409">
        <f>VLOOKUP('Proxy Group Ticker'!$B5,vldatabase,14,FALSE)</f>
        <v>0.49</v>
      </c>
      <c r="U11" s="410">
        <f>VLOOKUP('Proxy Group Ticker'!$B5,vldatabase,16,FALSE)</f>
        <v>5292</v>
      </c>
      <c r="V11" s="410">
        <f t="shared" si="12"/>
        <v>2593.08</v>
      </c>
      <c r="W11" s="411"/>
      <c r="X11" s="409">
        <f>VLOOKUP('Proxy Group Ticker'!$B5,vldatabase,15,FALSE)</f>
        <v>0.53500000000000003</v>
      </c>
      <c r="Y11" s="410">
        <f>VLOOKUP('Proxy Group Ticker'!$B5,vldatabase,17,FALSE)</f>
        <v>5700</v>
      </c>
      <c r="Z11" s="410">
        <f t="shared" si="13"/>
        <v>3049.5</v>
      </c>
      <c r="AA11" s="407">
        <f t="shared" si="14"/>
        <v>3.2957716806089499E-2</v>
      </c>
      <c r="AB11" s="412">
        <f>VLOOKUP('Proxy Group Ticker'!$B5,vldatabase,5,FALSE)</f>
        <v>65</v>
      </c>
      <c r="AC11" s="412">
        <f>VLOOKUP('Proxy Group Ticker'!$B5,vldatabase,6,FALSE)</f>
        <v>40</v>
      </c>
      <c r="AD11" s="413">
        <f t="shared" si="15"/>
        <v>52.5</v>
      </c>
      <c r="AE11" s="414">
        <f t="shared" si="16"/>
        <v>1.4685314685314685</v>
      </c>
      <c r="AF11" s="415">
        <f>VLOOKUP('Proxy Group Ticker'!$B5,vldatabase,10,FALSE)</f>
        <v>80.040000000000006</v>
      </c>
      <c r="AG11" s="415">
        <f>VLOOKUP('Proxy Group Ticker'!$B5,vldatabase,11,FALSE)</f>
        <v>85</v>
      </c>
      <c r="AH11" s="397">
        <f t="shared" si="17"/>
        <v>1.2097539731849682E-2</v>
      </c>
    </row>
    <row r="12" spans="1:34">
      <c r="A12" s="398">
        <f t="shared" si="0"/>
        <v>4</v>
      </c>
      <c r="B12" s="13" t="str">
        <f>'Proxy Group Ticker'!C6</f>
        <v>Black Hills Corp.</v>
      </c>
      <c r="C12" s="404">
        <f>VLOOKUP('Proxy Group Ticker'!$B6,vldatabase,7,FALSE)</f>
        <v>5</v>
      </c>
      <c r="D12" s="404">
        <f>VLOOKUP('Proxy Group Ticker'!$B6,vldatabase,8,FALSE)</f>
        <v>3.1</v>
      </c>
      <c r="E12" s="404">
        <f>VLOOKUP('Proxy Group Ticker'!$B6,vldatabase,9,FALSE)</f>
        <v>56</v>
      </c>
      <c r="G12" s="405">
        <f t="shared" si="1"/>
        <v>0.38</v>
      </c>
      <c r="H12" s="405">
        <f t="shared" si="2"/>
        <v>8.9285714285714288E-2</v>
      </c>
      <c r="I12" s="406">
        <f t="shared" si="3"/>
        <v>1.0267287154630274</v>
      </c>
      <c r="J12" s="407">
        <f t="shared" si="4"/>
        <v>9.1672206737770295E-2</v>
      </c>
      <c r="K12" s="407">
        <f t="shared" si="5"/>
        <v>3.4835438560352712E-2</v>
      </c>
      <c r="M12" s="408">
        <f t="shared" si="6"/>
        <v>2.7279248642501353E-2</v>
      </c>
      <c r="N12" s="408">
        <f t="shared" si="7"/>
        <v>0.27741935483870961</v>
      </c>
      <c r="O12" s="397">
        <f t="shared" si="8"/>
        <v>7.5677915588874701E-3</v>
      </c>
      <c r="Q12" s="407">
        <f t="shared" si="9"/>
        <v>4.240323011924018E-2</v>
      </c>
      <c r="R12" s="398">
        <f t="shared" si="10"/>
        <v>4</v>
      </c>
      <c r="S12" s="14" t="str">
        <f t="shared" si="11"/>
        <v>Black Hills Corp.</v>
      </c>
      <c r="T12" s="409">
        <f>VLOOKUP('Proxy Group Ticker'!$B6,vldatabase,14,FALSE)</f>
        <v>0.435</v>
      </c>
      <c r="U12" s="410">
        <f>VLOOKUP('Proxy Group Ticker'!$B6,vldatabase,16,FALSE)</f>
        <v>7751.7</v>
      </c>
      <c r="V12" s="410">
        <f t="shared" si="12"/>
        <v>3371.9894999999997</v>
      </c>
      <c r="W12" s="411"/>
      <c r="X12" s="409">
        <f>VLOOKUP('Proxy Group Ticker'!$B6,vldatabase,15,FALSE)</f>
        <v>0.44500000000000001</v>
      </c>
      <c r="Y12" s="410">
        <f>VLOOKUP('Proxy Group Ticker'!$B6,vldatabase,17,FALSE)</f>
        <v>9900</v>
      </c>
      <c r="Z12" s="410">
        <f t="shared" si="13"/>
        <v>4405.5</v>
      </c>
      <c r="AA12" s="407">
        <f t="shared" si="14"/>
        <v>5.4925519508660869E-2</v>
      </c>
      <c r="AB12" s="412">
        <f>VLOOKUP('Proxy Group Ticker'!$B6,vldatabase,5,FALSE)</f>
        <v>90</v>
      </c>
      <c r="AC12" s="412">
        <f>VLOOKUP('Proxy Group Ticker'!$B6,vldatabase,6,FALSE)</f>
        <v>65</v>
      </c>
      <c r="AD12" s="413">
        <f t="shared" si="15"/>
        <v>77.5</v>
      </c>
      <c r="AE12" s="414">
        <f t="shared" si="16"/>
        <v>1.3839285714285714</v>
      </c>
      <c r="AF12" s="415">
        <f>VLOOKUP('Proxy Group Ticker'!$B6,vldatabase,10,FALSE)</f>
        <v>69.84</v>
      </c>
      <c r="AG12" s="415">
        <f>VLOOKUP('Proxy Group Ticker'!$B6,vldatabase,11,FALSE)</f>
        <v>77</v>
      </c>
      <c r="AH12" s="397">
        <f t="shared" si="17"/>
        <v>1.9711457083613881E-2</v>
      </c>
    </row>
    <row r="13" spans="1:34">
      <c r="A13" s="398">
        <f t="shared" si="0"/>
        <v>5</v>
      </c>
      <c r="B13" s="13" t="str">
        <f>'Proxy Group Ticker'!C7</f>
        <v>CenterPoint Energy</v>
      </c>
      <c r="C13" s="404">
        <f>VLOOKUP('Proxy Group Ticker'!$B7,vldatabase,7,FALSE)</f>
        <v>2</v>
      </c>
      <c r="D13" s="404">
        <f>VLOOKUP('Proxy Group Ticker'!$B7,vldatabase,8,FALSE)</f>
        <v>1.01</v>
      </c>
      <c r="E13" s="404">
        <f>VLOOKUP('Proxy Group Ticker'!$B7,vldatabase,9,FALSE)</f>
        <v>21.5</v>
      </c>
      <c r="G13" s="405">
        <f t="shared" si="1"/>
        <v>0.495</v>
      </c>
      <c r="H13" s="405">
        <f t="shared" si="2"/>
        <v>9.3023255813953487E-2</v>
      </c>
      <c r="I13" s="406">
        <f t="shared" si="3"/>
        <v>1.0262895276099322</v>
      </c>
      <c r="J13" s="407">
        <f t="shared" si="4"/>
        <v>9.54687932660402E-2</v>
      </c>
      <c r="K13" s="407">
        <f t="shared" si="5"/>
        <v>4.7257052666689899E-2</v>
      </c>
      <c r="M13" s="408">
        <f t="shared" si="6"/>
        <v>6.7923578534325835E-4</v>
      </c>
      <c r="N13" s="408">
        <f t="shared" si="7"/>
        <v>0.42666666666666664</v>
      </c>
      <c r="O13" s="397">
        <f t="shared" si="8"/>
        <v>2.8980726841312354E-4</v>
      </c>
      <c r="Q13" s="407">
        <f t="shared" si="9"/>
        <v>4.754685993510302E-2</v>
      </c>
      <c r="R13" s="398">
        <f t="shared" si="10"/>
        <v>5</v>
      </c>
      <c r="S13" s="14" t="str">
        <f t="shared" si="11"/>
        <v>CenterPoint Energy</v>
      </c>
      <c r="T13" s="409">
        <f>VLOOKUP('Proxy Group Ticker'!$B7,vldatabase,14,FALSE)</f>
        <v>0.34499999999999997</v>
      </c>
      <c r="U13" s="410">
        <f>VLOOKUP('Proxy Group Ticker'!$B7,vldatabase,16,FALSE)</f>
        <v>31063</v>
      </c>
      <c r="V13" s="410">
        <f t="shared" si="12"/>
        <v>10716.734999999999</v>
      </c>
      <c r="W13" s="411"/>
      <c r="X13" s="409">
        <f>VLOOKUP('Proxy Group Ticker'!$B7,vldatabase,15,FALSE)</f>
        <v>0.41</v>
      </c>
      <c r="Y13" s="410">
        <f>VLOOKUP('Proxy Group Ticker'!$B7,vldatabase,17,FALSE)</f>
        <v>34000</v>
      </c>
      <c r="Z13" s="410">
        <f t="shared" si="13"/>
        <v>13940</v>
      </c>
      <c r="AA13" s="407">
        <f t="shared" si="14"/>
        <v>5.3998654333873963E-2</v>
      </c>
      <c r="AB13" s="412">
        <f>VLOOKUP('Proxy Group Ticker'!$B7,vldatabase,5,FALSE)</f>
        <v>45</v>
      </c>
      <c r="AC13" s="412">
        <f>VLOOKUP('Proxy Group Ticker'!$B7,vldatabase,6,FALSE)</f>
        <v>30</v>
      </c>
      <c r="AD13" s="413">
        <f t="shared" si="15"/>
        <v>37.5</v>
      </c>
      <c r="AE13" s="414">
        <f t="shared" si="16"/>
        <v>1.7441860465116279</v>
      </c>
      <c r="AF13" s="415">
        <f>VLOOKUP('Proxy Group Ticker'!$B7,vldatabase,10,FALSE)</f>
        <v>651.73</v>
      </c>
      <c r="AG13" s="415">
        <f>VLOOKUP('Proxy Group Ticker'!$B7,vldatabase,11,FALSE)</f>
        <v>653</v>
      </c>
      <c r="AH13" s="397">
        <f t="shared" si="17"/>
        <v>3.894285169301348E-4</v>
      </c>
    </row>
    <row r="14" spans="1:34">
      <c r="A14" s="398">
        <f t="shared" si="0"/>
        <v>6</v>
      </c>
      <c r="B14" s="13" t="str">
        <f>'Proxy Group Ticker'!C8</f>
        <v>CMS Energy Corp.</v>
      </c>
      <c r="C14" s="404">
        <f>VLOOKUP('Proxy Group Ticker'!$B8,vldatabase,7,FALSE)</f>
        <v>4.2</v>
      </c>
      <c r="D14" s="404">
        <f>VLOOKUP('Proxy Group Ticker'!$B8,vldatabase,8,FALSE)</f>
        <v>2.5</v>
      </c>
      <c r="E14" s="404">
        <f>VLOOKUP('Proxy Group Ticker'!$B8,vldatabase,9,FALSE)</f>
        <v>30.75</v>
      </c>
      <c r="G14" s="405">
        <f t="shared" si="1"/>
        <v>0.40476190476190477</v>
      </c>
      <c r="H14" s="405">
        <f t="shared" si="2"/>
        <v>0.13658536585365855</v>
      </c>
      <c r="I14" s="406">
        <f t="shared" si="3"/>
        <v>1.0146242061326995</v>
      </c>
      <c r="J14" s="407">
        <f t="shared" si="4"/>
        <v>0.13858281839861264</v>
      </c>
      <c r="K14" s="407">
        <f t="shared" si="5"/>
        <v>5.6093045542295591E-2</v>
      </c>
      <c r="M14" s="408">
        <f t="shared" si="6"/>
        <v>5.7221033564368888E-3</v>
      </c>
      <c r="N14" s="408">
        <f t="shared" si="7"/>
        <v>0.62727272727272732</v>
      </c>
      <c r="O14" s="397">
        <f t="shared" si="8"/>
        <v>3.5893193781285941E-3</v>
      </c>
      <c r="Q14" s="407">
        <f t="shared" si="9"/>
        <v>5.9682364920424183E-2</v>
      </c>
      <c r="R14" s="398">
        <f t="shared" si="10"/>
        <v>6</v>
      </c>
      <c r="S14" s="14" t="str">
        <f t="shared" si="11"/>
        <v>CMS Energy Corp.</v>
      </c>
      <c r="T14" s="409">
        <f>VLOOKUP('Proxy Group Ticker'!$B8,vldatabase,14,FALSE)</f>
        <v>0.34</v>
      </c>
      <c r="U14" s="410">
        <f>VLOOKUP('Proxy Group Ticker'!$B8,vldatabase,16,FALSE)</f>
        <v>23536</v>
      </c>
      <c r="V14" s="410">
        <f t="shared" si="12"/>
        <v>8002.2400000000007</v>
      </c>
      <c r="W14" s="411"/>
      <c r="X14" s="409">
        <f>VLOOKUP('Proxy Group Ticker'!$B8,vldatabase,15,FALSE)</f>
        <v>0.375</v>
      </c>
      <c r="Y14" s="410">
        <f>VLOOKUP('Proxy Group Ticker'!$B8,vldatabase,17,FALSE)</f>
        <v>24700</v>
      </c>
      <c r="Z14" s="410">
        <f t="shared" si="13"/>
        <v>9262.5</v>
      </c>
      <c r="AA14" s="407">
        <f t="shared" si="14"/>
        <v>2.9682495193643632E-2</v>
      </c>
      <c r="AB14" s="412">
        <f>VLOOKUP('Proxy Group Ticker'!$B8,vldatabase,5,FALSE)</f>
        <v>95</v>
      </c>
      <c r="AC14" s="412">
        <f>VLOOKUP('Proxy Group Ticker'!$B8,vldatabase,6,FALSE)</f>
        <v>70</v>
      </c>
      <c r="AD14" s="413">
        <f t="shared" si="15"/>
        <v>82.5</v>
      </c>
      <c r="AE14" s="414">
        <f t="shared" si="16"/>
        <v>2.6829268292682928</v>
      </c>
      <c r="AF14" s="415">
        <f>VLOOKUP('Proxy Group Ticker'!$B8,vldatabase,10,FALSE)</f>
        <v>298.8</v>
      </c>
      <c r="AG14" s="415">
        <f>VLOOKUP('Proxy Group Ticker'!$B8,vldatabase,11,FALSE)</f>
        <v>302</v>
      </c>
      <c r="AH14" s="397">
        <f t="shared" si="17"/>
        <v>2.1327839783082947E-3</v>
      </c>
    </row>
    <row r="15" spans="1:34">
      <c r="A15" s="398">
        <f t="shared" si="0"/>
        <v>7</v>
      </c>
      <c r="B15" s="13" t="str">
        <f>'Proxy Group Ticker'!C9</f>
        <v>Dominion Energy</v>
      </c>
      <c r="C15" s="404">
        <f>VLOOKUP('Proxy Group Ticker'!$B9,vldatabase,7,FALSE)</f>
        <v>4.25</v>
      </c>
      <c r="D15" s="404">
        <f>VLOOKUP('Proxy Group Ticker'!$B9,vldatabase,8,FALSE)</f>
        <v>2.67</v>
      </c>
      <c r="E15" s="404">
        <f>VLOOKUP('Proxy Group Ticker'!$B9,vldatabase,9,FALSE)</f>
        <v>37.25</v>
      </c>
      <c r="G15" s="405">
        <f t="shared" si="1"/>
        <v>0.37176470588235294</v>
      </c>
      <c r="H15" s="405">
        <f t="shared" si="2"/>
        <v>0.11409395973154363</v>
      </c>
      <c r="I15" s="406">
        <f t="shared" si="3"/>
        <v>1.0229187757931253</v>
      </c>
      <c r="J15" s="407">
        <f t="shared" si="4"/>
        <v>0.11670885361398074</v>
      </c>
      <c r="K15" s="407">
        <f t="shared" si="5"/>
        <v>4.3388232637668132E-2</v>
      </c>
      <c r="M15" s="408">
        <f t="shared" si="6"/>
        <v>1.2192276435051162E-2</v>
      </c>
      <c r="N15" s="408">
        <f t="shared" si="7"/>
        <v>0.46785714285714286</v>
      </c>
      <c r="O15" s="397">
        <f t="shared" si="8"/>
        <v>5.7042436178275082E-3</v>
      </c>
      <c r="Q15" s="407">
        <f t="shared" si="9"/>
        <v>4.9092476255495641E-2</v>
      </c>
      <c r="R15" s="398">
        <f t="shared" si="10"/>
        <v>7</v>
      </c>
      <c r="S15" s="14" t="str">
        <f t="shared" si="11"/>
        <v>Dominion Energy</v>
      </c>
      <c r="T15" s="409">
        <f>VLOOKUP('Proxy Group Ticker'!$B9,vldatabase,14,FALSE)</f>
        <v>0.40500000000000003</v>
      </c>
      <c r="U15" s="410">
        <f>VLOOKUP('Proxy Group Ticker'!$B9,vldatabase,16,FALSE)</f>
        <v>64778</v>
      </c>
      <c r="V15" s="410">
        <f t="shared" si="12"/>
        <v>26235.09</v>
      </c>
      <c r="W15" s="411"/>
      <c r="X15" s="409">
        <f>VLOOKUP('Proxy Group Ticker'!$B9,vldatabase,15,FALSE)</f>
        <v>0.39</v>
      </c>
      <c r="Y15" s="410">
        <f>VLOOKUP('Proxy Group Ticker'!$B9,vldatabase,17,FALSE)</f>
        <v>84600</v>
      </c>
      <c r="Z15" s="410">
        <f t="shared" si="13"/>
        <v>32994</v>
      </c>
      <c r="AA15" s="407">
        <f t="shared" si="14"/>
        <v>4.6912734019076474E-2</v>
      </c>
      <c r="AB15" s="412">
        <f>VLOOKUP('Proxy Group Ticker'!$B9,vldatabase,5,FALSE)</f>
        <v>80</v>
      </c>
      <c r="AC15" s="412">
        <f>VLOOKUP('Proxy Group Ticker'!$B9,vldatabase,6,FALSE)</f>
        <v>60</v>
      </c>
      <c r="AD15" s="413">
        <f t="shared" si="15"/>
        <v>70</v>
      </c>
      <c r="AE15" s="414">
        <f t="shared" si="16"/>
        <v>1.8791946308724832</v>
      </c>
      <c r="AF15" s="415">
        <f>VLOOKUP('Proxy Group Ticker'!$B9,vldatabase,10,FALSE)</f>
        <v>852</v>
      </c>
      <c r="AG15" s="415">
        <f>VLOOKUP('Proxy Group Ticker'!$B9,vldatabase,11,FALSE)</f>
        <v>880</v>
      </c>
      <c r="AH15" s="397">
        <f t="shared" si="17"/>
        <v>6.4880328172236545E-3</v>
      </c>
    </row>
    <row r="16" spans="1:34">
      <c r="A16" s="398">
        <f t="shared" si="0"/>
        <v>8</v>
      </c>
      <c r="B16" s="13" t="str">
        <f>'Proxy Group Ticker'!C10</f>
        <v>DTE Energy Co.</v>
      </c>
      <c r="C16" s="404">
        <f>VLOOKUP('Proxy Group Ticker'!$B10,vldatabase,7,FALSE)</f>
        <v>9.6</v>
      </c>
      <c r="D16" s="404">
        <f>VLOOKUP('Proxy Group Ticker'!$B10,vldatabase,8,FALSE)</f>
        <v>5.15</v>
      </c>
      <c r="E16" s="404">
        <f>VLOOKUP('Proxy Group Ticker'!$B10,vldatabase,9,FALSE)</f>
        <v>63.1</v>
      </c>
      <c r="G16" s="405">
        <f t="shared" si="1"/>
        <v>0.46354166666666663</v>
      </c>
      <c r="H16" s="405">
        <f t="shared" si="2"/>
        <v>0.15213946117274166</v>
      </c>
      <c r="I16" s="406">
        <f t="shared" si="3"/>
        <v>1.0114144934242946</v>
      </c>
      <c r="J16" s="407">
        <f t="shared" si="4"/>
        <v>0.15387605605187363</v>
      </c>
      <c r="K16" s="407">
        <f t="shared" si="5"/>
        <v>7.1327963482378909E-2</v>
      </c>
      <c r="M16" s="408">
        <f t="shared" si="6"/>
        <v>-3.094796040792738E-3</v>
      </c>
      <c r="N16" s="408">
        <f t="shared" si="7"/>
        <v>0.63420289855072465</v>
      </c>
      <c r="O16" s="397">
        <f t="shared" si="8"/>
        <v>-1.962728619494061E-3</v>
      </c>
      <c r="Q16" s="407">
        <f t="shared" si="9"/>
        <v>6.9365234862884845E-2</v>
      </c>
      <c r="R16" s="398">
        <f t="shared" si="10"/>
        <v>8</v>
      </c>
      <c r="S16" s="14" t="str">
        <f t="shared" si="11"/>
        <v>DTE Energy Co.</v>
      </c>
      <c r="T16" s="409">
        <f>VLOOKUP('Proxy Group Ticker'!$B10,vldatabase,14,FALSE)</f>
        <v>0.38200000000000001</v>
      </c>
      <c r="U16" s="410">
        <f>VLOOKUP('Proxy Group Ticker'!$B10,vldatabase,16,FALSE)</f>
        <v>29328</v>
      </c>
      <c r="V16" s="410">
        <f t="shared" si="12"/>
        <v>11203.296</v>
      </c>
      <c r="W16" s="411"/>
      <c r="X16" s="409">
        <f>VLOOKUP('Proxy Group Ticker'!$B10,vldatabase,15,FALSE)</f>
        <v>0.39</v>
      </c>
      <c r="Y16" s="410">
        <f>VLOOKUP('Proxy Group Ticker'!$B10,vldatabase,17,FALSE)</f>
        <v>32200</v>
      </c>
      <c r="Z16" s="410">
        <f t="shared" si="13"/>
        <v>12558</v>
      </c>
      <c r="AA16" s="407">
        <f t="shared" si="14"/>
        <v>2.3092576915946239E-2</v>
      </c>
      <c r="AB16" s="412">
        <f>VLOOKUP('Proxy Group Ticker'!$B10,vldatabase,5,FALSE)</f>
        <v>200</v>
      </c>
      <c r="AC16" s="412">
        <f>VLOOKUP('Proxy Group Ticker'!$B10,vldatabase,6,FALSE)</f>
        <v>145</v>
      </c>
      <c r="AD16" s="413">
        <f t="shared" si="15"/>
        <v>172.5</v>
      </c>
      <c r="AE16" s="414">
        <f t="shared" si="16"/>
        <v>2.7337559429477021</v>
      </c>
      <c r="AF16" s="415">
        <f>VLOOKUP('Proxy Group Ticker'!$B10,vldatabase,10,FALSE)</f>
        <v>207.17</v>
      </c>
      <c r="AG16" s="415">
        <f>VLOOKUP('Proxy Group Ticker'!$B10,vldatabase,11,FALSE)</f>
        <v>206</v>
      </c>
      <c r="AH16" s="397">
        <f t="shared" si="17"/>
        <v>-1.132067421298677E-3</v>
      </c>
    </row>
    <row r="17" spans="1:34">
      <c r="A17" s="398">
        <f t="shared" si="0"/>
        <v>9</v>
      </c>
      <c r="B17" s="13" t="str">
        <f>'Proxy Group Ticker'!C11</f>
        <v>Duke Energy Corp.</v>
      </c>
      <c r="C17" s="404">
        <f>VLOOKUP('Proxy Group Ticker'!$B11,vldatabase,7,FALSE)</f>
        <v>8</v>
      </c>
      <c r="D17" s="404">
        <f>VLOOKUP('Proxy Group Ticker'!$B11,vldatabase,8,FALSE)</f>
        <v>5</v>
      </c>
      <c r="E17" s="404">
        <f>VLOOKUP('Proxy Group Ticker'!$B11,vldatabase,9,FALSE)</f>
        <v>76.5</v>
      </c>
      <c r="G17" s="405">
        <f t="shared" si="1"/>
        <v>0.375</v>
      </c>
      <c r="H17" s="405">
        <f t="shared" si="2"/>
        <v>0.10457516339869281</v>
      </c>
      <c r="I17" s="406">
        <f t="shared" si="3"/>
        <v>1.0187085500212825</v>
      </c>
      <c r="J17" s="407">
        <f t="shared" si="4"/>
        <v>0.10653161307412104</v>
      </c>
      <c r="K17" s="407">
        <f t="shared" si="5"/>
        <v>3.9949354902795386E-2</v>
      </c>
      <c r="M17" s="408">
        <f t="shared" si="6"/>
        <v>1.8155448725594029E-3</v>
      </c>
      <c r="N17" s="408">
        <f t="shared" si="7"/>
        <v>0.43333333333333335</v>
      </c>
      <c r="O17" s="397">
        <f t="shared" si="8"/>
        <v>7.8673611144240794E-4</v>
      </c>
      <c r="Q17" s="407">
        <f t="shared" si="9"/>
        <v>4.0736091014237794E-2</v>
      </c>
      <c r="R17" s="398">
        <f t="shared" si="10"/>
        <v>9</v>
      </c>
      <c r="S17" s="14" t="str">
        <f t="shared" si="11"/>
        <v>Duke Energy Corp.</v>
      </c>
      <c r="T17" s="409">
        <f>VLOOKUP('Proxy Group Ticker'!$B11,vldatabase,14,FALSE)</f>
        <v>0.38900000000000001</v>
      </c>
      <c r="U17" s="410">
        <f>VLOOKUP('Proxy Group Ticker'!$B11,vldatabase,16,FALSE)</f>
        <v>126467</v>
      </c>
      <c r="V17" s="410">
        <f t="shared" si="12"/>
        <v>49195.663</v>
      </c>
      <c r="W17" s="411"/>
      <c r="X17" s="409">
        <f>VLOOKUP('Proxy Group Ticker'!$B11,vldatabase,15,FALSE)</f>
        <v>0.38</v>
      </c>
      <c r="Y17" s="410">
        <f>VLOOKUP('Proxy Group Ticker'!$B11,vldatabase,17,FALSE)</f>
        <v>156100</v>
      </c>
      <c r="Z17" s="410">
        <f t="shared" si="13"/>
        <v>59318</v>
      </c>
      <c r="AA17" s="407">
        <f t="shared" si="14"/>
        <v>3.8130465768734023E-2</v>
      </c>
      <c r="AB17" s="412">
        <f>VLOOKUP('Proxy Group Ticker'!$B11,vldatabase,5,FALSE)</f>
        <v>155</v>
      </c>
      <c r="AC17" s="412">
        <f>VLOOKUP('Proxy Group Ticker'!$B11,vldatabase,6,FALSE)</f>
        <v>115</v>
      </c>
      <c r="AD17" s="413">
        <f t="shared" si="15"/>
        <v>135</v>
      </c>
      <c r="AE17" s="414">
        <f t="shared" si="16"/>
        <v>1.7647058823529411</v>
      </c>
      <c r="AF17" s="415">
        <f>VLOOKUP('Proxy Group Ticker'!$B11,vldatabase,10,FALSE)</f>
        <v>776</v>
      </c>
      <c r="AG17" s="415">
        <f>VLOOKUP('Proxy Group Ticker'!$B11,vldatabase,11,FALSE)</f>
        <v>780</v>
      </c>
      <c r="AH17" s="397">
        <f t="shared" si="17"/>
        <v>1.0288087611169949E-3</v>
      </c>
    </row>
    <row r="18" spans="1:34">
      <c r="A18" s="398">
        <f t="shared" si="0"/>
        <v>10</v>
      </c>
      <c r="B18" s="13" t="str">
        <f>'Proxy Group Ticker'!C12</f>
        <v>Edison International</v>
      </c>
      <c r="C18" s="404">
        <f>VLOOKUP('Proxy Group Ticker'!$B12,vldatabase,7,FALSE)</f>
        <v>7</v>
      </c>
      <c r="D18" s="404">
        <f>VLOOKUP('Proxy Group Ticker'!$B12,vldatabase,8,FALSE)</f>
        <v>4.25</v>
      </c>
      <c r="E18" s="404">
        <f>VLOOKUP('Proxy Group Ticker'!$B12,vldatabase,9,FALSE)</f>
        <v>50</v>
      </c>
      <c r="G18" s="405">
        <f t="shared" si="1"/>
        <v>0.39285714285714285</v>
      </c>
      <c r="H18" s="405">
        <f t="shared" si="2"/>
        <v>0.14000000000000001</v>
      </c>
      <c r="I18" s="406">
        <f t="shared" si="3"/>
        <v>1.0364523220709372</v>
      </c>
      <c r="J18" s="407">
        <f t="shared" si="4"/>
        <v>0.14510332508993121</v>
      </c>
      <c r="K18" s="407">
        <f t="shared" si="5"/>
        <v>5.7004877713901544E-2</v>
      </c>
      <c r="M18" s="408">
        <f t="shared" si="6"/>
        <v>1.0513144103317273E-2</v>
      </c>
      <c r="N18" s="408">
        <f t="shared" si="7"/>
        <v>0.5</v>
      </c>
      <c r="O18" s="397">
        <f t="shared" si="8"/>
        <v>5.2565720516586367E-3</v>
      </c>
      <c r="Q18" s="407">
        <f t="shared" si="9"/>
        <v>6.2261449765560181E-2</v>
      </c>
      <c r="R18" s="398">
        <f t="shared" si="10"/>
        <v>10</v>
      </c>
      <c r="S18" s="14" t="str">
        <f t="shared" si="11"/>
        <v>Edison International</v>
      </c>
      <c r="T18" s="409">
        <f>VLOOKUP('Proxy Group Ticker'!$B12,vldatabase,14,FALSE)</f>
        <v>0.27100000000000002</v>
      </c>
      <c r="U18" s="410">
        <f>VLOOKUP('Proxy Group Ticker'!$B12,vldatabase,16,FALSE)</f>
        <v>51274</v>
      </c>
      <c r="V18" s="410">
        <f t="shared" si="12"/>
        <v>13895.254000000001</v>
      </c>
      <c r="W18" s="411"/>
      <c r="X18" s="409">
        <f>VLOOKUP('Proxy Group Ticker'!$B12,vldatabase,15,FALSE)</f>
        <v>0.28999999999999998</v>
      </c>
      <c r="Y18" s="410">
        <f>VLOOKUP('Proxy Group Ticker'!$B12,vldatabase,17,FALSE)</f>
        <v>69000</v>
      </c>
      <c r="Z18" s="410">
        <f t="shared" si="13"/>
        <v>20010</v>
      </c>
      <c r="AA18" s="407">
        <f t="shared" si="14"/>
        <v>7.5662726206312092E-2</v>
      </c>
      <c r="AB18" s="412">
        <f>VLOOKUP('Proxy Group Ticker'!$B12,vldatabase,5,FALSE)</f>
        <v>120</v>
      </c>
      <c r="AC18" s="412">
        <f>VLOOKUP('Proxy Group Ticker'!$B12,vldatabase,6,FALSE)</f>
        <v>80</v>
      </c>
      <c r="AD18" s="413">
        <f t="shared" si="15"/>
        <v>100</v>
      </c>
      <c r="AE18" s="414">
        <f t="shared" si="16"/>
        <v>2</v>
      </c>
      <c r="AF18" s="415">
        <f>VLOOKUP('Proxy Group Ticker'!$B12,vldatabase,10,FALSE)</f>
        <v>384.78</v>
      </c>
      <c r="AG18" s="415">
        <f>VLOOKUP('Proxy Group Ticker'!$B12,vldatabase,11,FALSE)</f>
        <v>395</v>
      </c>
      <c r="AH18" s="397">
        <f t="shared" si="17"/>
        <v>5.2565720516586367E-3</v>
      </c>
    </row>
    <row r="19" spans="1:34">
      <c r="A19" s="398">
        <f t="shared" si="0"/>
        <v>11</v>
      </c>
      <c r="B19" s="13" t="str">
        <f>'Proxy Group Ticker'!C13</f>
        <v>Entergy Corp.</v>
      </c>
      <c r="C19" s="404">
        <f>VLOOKUP('Proxy Group Ticker'!$B13,vldatabase,7,FALSE)</f>
        <v>4.2</v>
      </c>
      <c r="D19" s="404">
        <f>VLOOKUP('Proxy Group Ticker'!$B13,vldatabase,8,FALSE)</f>
        <v>3</v>
      </c>
      <c r="E19" s="404">
        <f>VLOOKUP('Proxy Group Ticker'!$B13,vldatabase,9,FALSE)</f>
        <v>43.45</v>
      </c>
      <c r="G19" s="405">
        <f t="shared" si="1"/>
        <v>0.28571428571428575</v>
      </c>
      <c r="H19" s="405">
        <f t="shared" si="2"/>
        <v>9.6662830840046024E-2</v>
      </c>
      <c r="I19" s="406">
        <f t="shared" si="3"/>
        <v>1.0301842811163557</v>
      </c>
      <c r="J19" s="407">
        <f t="shared" si="4"/>
        <v>9.958052889962471E-2</v>
      </c>
      <c r="K19" s="407">
        <f t="shared" si="5"/>
        <v>2.8451579685607065E-2</v>
      </c>
      <c r="M19" s="408">
        <f t="shared" si="6"/>
        <v>2.4574814406182335E-2</v>
      </c>
      <c r="N19" s="408">
        <f t="shared" si="7"/>
        <v>0.4393548387096774</v>
      </c>
      <c r="O19" s="397">
        <f t="shared" si="8"/>
        <v>1.0797063619748496E-2</v>
      </c>
      <c r="Q19" s="407">
        <f t="shared" si="9"/>
        <v>3.924864330535556E-2</v>
      </c>
      <c r="R19" s="398">
        <f t="shared" si="10"/>
        <v>11</v>
      </c>
      <c r="S19" s="14" t="str">
        <f t="shared" si="11"/>
        <v>Entergy Corp.</v>
      </c>
      <c r="T19" s="409">
        <f>VLOOKUP('Proxy Group Ticker'!$B13,vldatabase,14,FALSE)</f>
        <v>0.36</v>
      </c>
      <c r="U19" s="410">
        <f>VLOOKUP('Proxy Group Ticker'!$B13,vldatabase,16,FALSE)</f>
        <v>41917</v>
      </c>
      <c r="V19" s="410">
        <f t="shared" si="12"/>
        <v>15090.119999999999</v>
      </c>
      <c r="W19" s="411"/>
      <c r="X19" s="409">
        <f>VLOOKUP('Proxy Group Ticker'!$B13,vldatabase,15,FALSE)</f>
        <v>0.36499999999999999</v>
      </c>
      <c r="Y19" s="410">
        <f>VLOOKUP('Proxy Group Ticker'!$B13,vldatabase,17,FALSE)</f>
        <v>55915</v>
      </c>
      <c r="Z19" s="410">
        <f t="shared" si="13"/>
        <v>20408.974999999999</v>
      </c>
      <c r="AA19" s="407">
        <f t="shared" si="14"/>
        <v>6.2247456972755133E-2</v>
      </c>
      <c r="AB19" s="412">
        <f>VLOOKUP('Proxy Group Ticker'!$B13,vldatabase,5,FALSE)</f>
        <v>85</v>
      </c>
      <c r="AC19" s="412">
        <f>VLOOKUP('Proxy Group Ticker'!$B13,vldatabase,6,FALSE)</f>
        <v>70</v>
      </c>
      <c r="AD19" s="413">
        <f t="shared" si="15"/>
        <v>77.5</v>
      </c>
      <c r="AE19" s="414">
        <f t="shared" si="16"/>
        <v>1.7836593785960873</v>
      </c>
      <c r="AF19" s="415">
        <f>VLOOKUP('Proxy Group Ticker'!$B13,vldatabase,10,FALSE)</f>
        <v>429.58</v>
      </c>
      <c r="AG19" s="415">
        <f>VLOOKUP('Proxy Group Ticker'!$B13,vldatabase,11,FALSE)</f>
        <v>460</v>
      </c>
      <c r="AH19" s="397">
        <f t="shared" si="17"/>
        <v>1.377775078643384E-2</v>
      </c>
    </row>
    <row r="20" spans="1:34">
      <c r="A20" s="398">
        <f t="shared" si="0"/>
        <v>12</v>
      </c>
      <c r="B20" s="13" t="str">
        <f>'Proxy Group Ticker'!C14</f>
        <v>Evergy Inc.</v>
      </c>
      <c r="C20" s="404">
        <f>VLOOKUP('Proxy Group Ticker'!$B14,vldatabase,7,FALSE)</f>
        <v>5</v>
      </c>
      <c r="D20" s="404">
        <f>VLOOKUP('Proxy Group Ticker'!$B14,vldatabase,8,FALSE)</f>
        <v>3.25</v>
      </c>
      <c r="E20" s="404">
        <f>VLOOKUP('Proxy Group Ticker'!$B14,vldatabase,9,FALSE)</f>
        <v>47.5</v>
      </c>
      <c r="G20" s="405">
        <f t="shared" si="1"/>
        <v>0.35</v>
      </c>
      <c r="H20" s="405">
        <f t="shared" si="2"/>
        <v>0.10526315789473684</v>
      </c>
      <c r="I20" s="406">
        <f t="shared" si="3"/>
        <v>1.012429909935213</v>
      </c>
      <c r="J20" s="407">
        <f t="shared" si="4"/>
        <v>0.10657156946686452</v>
      </c>
      <c r="K20" s="407">
        <f t="shared" si="5"/>
        <v>3.7300049313402583E-2</v>
      </c>
      <c r="M20" s="408">
        <f t="shared" si="6"/>
        <v>4.3279916807157834E-4</v>
      </c>
      <c r="N20" s="408">
        <f t="shared" si="7"/>
        <v>0.45714285714285718</v>
      </c>
      <c r="O20" s="397">
        <f t="shared" si="8"/>
        <v>1.9785104826129297E-4</v>
      </c>
      <c r="Q20" s="407">
        <f t="shared" si="9"/>
        <v>3.7497900361663873E-2</v>
      </c>
      <c r="R20" s="398">
        <f t="shared" si="10"/>
        <v>12</v>
      </c>
      <c r="S20" s="14" t="str">
        <f t="shared" si="11"/>
        <v>Evergy Inc.</v>
      </c>
      <c r="T20" s="409">
        <f>VLOOKUP('Proxy Group Ticker'!$B14,vldatabase,14,FALSE)</f>
        <v>0.48</v>
      </c>
      <c r="U20" s="410">
        <f>VLOOKUP('Proxy Group Ticker'!$B14,vldatabase,16,FALSE)</f>
        <v>20019</v>
      </c>
      <c r="V20" s="410">
        <f t="shared" si="12"/>
        <v>9609.119999999999</v>
      </c>
      <c r="W20" s="411"/>
      <c r="X20" s="409">
        <f>VLOOKUP('Proxy Group Ticker'!$B14,vldatabase,15,FALSE)</f>
        <v>0.46500000000000002</v>
      </c>
      <c r="Y20" s="410">
        <f>VLOOKUP('Proxy Group Ticker'!$B14,vldatabase,17,FALSE)</f>
        <v>23400</v>
      </c>
      <c r="Z20" s="410">
        <f t="shared" si="13"/>
        <v>10881</v>
      </c>
      <c r="AA20" s="407">
        <f t="shared" si="14"/>
        <v>2.5172714443787214E-2</v>
      </c>
      <c r="AB20" s="412">
        <f>VLOOKUP('Proxy Group Ticker'!$B14,vldatabase,5,FALSE)</f>
        <v>100</v>
      </c>
      <c r="AC20" s="412">
        <f>VLOOKUP('Proxy Group Ticker'!$B14,vldatabase,6,FALSE)</f>
        <v>75</v>
      </c>
      <c r="AD20" s="413">
        <f t="shared" si="15"/>
        <v>87.5</v>
      </c>
      <c r="AE20" s="414">
        <f t="shared" si="16"/>
        <v>1.8421052631578947</v>
      </c>
      <c r="AF20" s="415">
        <f>VLOOKUP('Proxy Group Ticker'!$B14,vldatabase,10,FALSE)</f>
        <v>229.73</v>
      </c>
      <c r="AG20" s="415">
        <f>VLOOKUP('Proxy Group Ticker'!$B14,vldatabase,11,FALSE)</f>
        <v>230</v>
      </c>
      <c r="AH20" s="397">
        <f t="shared" si="17"/>
        <v>2.3494811981028541E-4</v>
      </c>
    </row>
    <row r="21" spans="1:34">
      <c r="A21" s="398">
        <f t="shared" si="0"/>
        <v>13</v>
      </c>
      <c r="B21" s="13" t="str">
        <f>'Proxy Group Ticker'!C15</f>
        <v>Eversource Energy</v>
      </c>
      <c r="C21" s="404">
        <f>VLOOKUP('Proxy Group Ticker'!$B15,vldatabase,7,FALSE)</f>
        <v>5.9</v>
      </c>
      <c r="D21" s="404">
        <f>VLOOKUP('Proxy Group Ticker'!$B15,vldatabase,8,FALSE)</f>
        <v>3.7</v>
      </c>
      <c r="E21" s="404">
        <f>VLOOKUP('Proxy Group Ticker'!$B15,vldatabase,9,FALSE)</f>
        <v>52</v>
      </c>
      <c r="G21" s="405">
        <f t="shared" si="1"/>
        <v>0.3728813559322034</v>
      </c>
      <c r="H21" s="405">
        <f t="shared" si="2"/>
        <v>0.11346153846153847</v>
      </c>
      <c r="I21" s="406">
        <f t="shared" si="3"/>
        <v>1.0266924008313512</v>
      </c>
      <c r="J21" s="407">
        <f t="shared" si="4"/>
        <v>0.11649009932509563</v>
      </c>
      <c r="K21" s="407">
        <f t="shared" si="5"/>
        <v>4.3436986189018707E-2</v>
      </c>
      <c r="M21" s="408">
        <f t="shared" si="6"/>
        <v>1.3154442802566181E-2</v>
      </c>
      <c r="N21" s="408">
        <f t="shared" si="7"/>
        <v>0.45263157894736838</v>
      </c>
      <c r="O21" s="397">
        <f t="shared" si="8"/>
        <v>5.9541162158983762E-3</v>
      </c>
      <c r="Q21" s="407">
        <f t="shared" si="9"/>
        <v>4.9391102404917085E-2</v>
      </c>
      <c r="R21" s="398">
        <f t="shared" si="10"/>
        <v>13</v>
      </c>
      <c r="S21" s="14" t="str">
        <f t="shared" si="11"/>
        <v>Eversource Energy</v>
      </c>
      <c r="T21" s="409">
        <f>VLOOKUP('Proxy Group Ticker'!$B15,vldatabase,14,FALSE)</f>
        <v>0.36499999999999999</v>
      </c>
      <c r="U21" s="410">
        <f>VLOOKUP('Proxy Group Ticker'!$B15,vldatabase,16,FALSE)</f>
        <v>41221</v>
      </c>
      <c r="V21" s="410">
        <f t="shared" si="12"/>
        <v>15045.664999999999</v>
      </c>
      <c r="W21" s="411"/>
      <c r="X21" s="409">
        <f>VLOOKUP('Proxy Group Ticker'!$B15,vldatabase,15,FALSE)</f>
        <v>0.375</v>
      </c>
      <c r="Y21" s="410">
        <f>VLOOKUP('Proxy Group Ticker'!$B15,vldatabase,17,FALSE)</f>
        <v>52400</v>
      </c>
      <c r="Z21" s="410">
        <f t="shared" si="13"/>
        <v>19650</v>
      </c>
      <c r="AA21" s="407">
        <f t="shared" si="14"/>
        <v>5.4848849128786181E-2</v>
      </c>
      <c r="AB21" s="412">
        <f>VLOOKUP('Proxy Group Ticker'!$B15,vldatabase,5,FALSE)</f>
        <v>110</v>
      </c>
      <c r="AC21" s="412">
        <f>VLOOKUP('Proxy Group Ticker'!$B15,vldatabase,6,FALSE)</f>
        <v>80</v>
      </c>
      <c r="AD21" s="413">
        <f t="shared" si="15"/>
        <v>95</v>
      </c>
      <c r="AE21" s="414">
        <f t="shared" si="16"/>
        <v>1.8269230769230769</v>
      </c>
      <c r="AF21" s="415">
        <f>VLOOKUP('Proxy Group Ticker'!$B15,vldatabase,10,FALSE)</f>
        <v>366.61</v>
      </c>
      <c r="AG21" s="415">
        <f>VLOOKUP('Proxy Group Ticker'!$B15,vldatabase,11,FALSE)</f>
        <v>380</v>
      </c>
      <c r="AH21" s="397">
        <f t="shared" si="17"/>
        <v>7.2003265866678046E-3</v>
      </c>
    </row>
    <row r="22" spans="1:34">
      <c r="A22" s="398">
        <f t="shared" si="0"/>
        <v>14</v>
      </c>
      <c r="B22" s="13" t="str">
        <f>'Proxy Group Ticker'!C16</f>
        <v>FirstEnergy Corp.</v>
      </c>
      <c r="C22" s="404">
        <f>VLOOKUP('Proxy Group Ticker'!$B16,vldatabase,7,FALSE)</f>
        <v>3.3</v>
      </c>
      <c r="D22" s="404">
        <f>VLOOKUP('Proxy Group Ticker'!$B16,vldatabase,8,FALSE)</f>
        <v>2.1</v>
      </c>
      <c r="E22" s="404">
        <f>VLOOKUP('Proxy Group Ticker'!$B16,vldatabase,9,FALSE)</f>
        <v>26.75</v>
      </c>
      <c r="G22" s="405">
        <f t="shared" si="1"/>
        <v>0.36363636363636359</v>
      </c>
      <c r="H22" s="405">
        <f t="shared" si="2"/>
        <v>0.12336448598130841</v>
      </c>
      <c r="I22" s="406">
        <f t="shared" si="3"/>
        <v>1.0242314932527496</v>
      </c>
      <c r="J22" s="407">
        <f t="shared" si="4"/>
        <v>0.12635379169099342</v>
      </c>
      <c r="K22" s="407">
        <f t="shared" si="5"/>
        <v>4.5946833342179423E-2</v>
      </c>
      <c r="M22" s="408">
        <f t="shared" si="6"/>
        <v>1.2950824470255912E-2</v>
      </c>
      <c r="N22" s="408">
        <f t="shared" si="7"/>
        <v>0.51363636363636356</v>
      </c>
      <c r="O22" s="397">
        <f t="shared" si="8"/>
        <v>6.6520143869950813E-3</v>
      </c>
      <c r="Q22" s="407">
        <f t="shared" si="9"/>
        <v>5.2598847729174503E-2</v>
      </c>
      <c r="R22" s="398">
        <f t="shared" si="10"/>
        <v>14</v>
      </c>
      <c r="S22" s="14" t="str">
        <f t="shared" si="11"/>
        <v>FirstEnergy Corp.</v>
      </c>
      <c r="T22" s="409">
        <f>VLOOKUP('Proxy Group Ticker'!$B16,vldatabase,14,FALSE)</f>
        <v>0.35599999999999998</v>
      </c>
      <c r="U22" s="410">
        <f>VLOOKUP('Proxy Group Ticker'!$B16,vldatabase,16,FALSE)</f>
        <v>34951</v>
      </c>
      <c r="V22" s="410">
        <f t="shared" si="12"/>
        <v>12442.555999999999</v>
      </c>
      <c r="W22" s="411"/>
      <c r="X22" s="409">
        <f>VLOOKUP('Proxy Group Ticker'!$B16,vldatabase,15,FALSE)</f>
        <v>0.35</v>
      </c>
      <c r="Y22" s="410">
        <f>VLOOKUP('Proxy Group Ticker'!$B16,vldatabase,17,FALSE)</f>
        <v>45300</v>
      </c>
      <c r="Z22" s="410">
        <f t="shared" si="13"/>
        <v>15854.999999999998</v>
      </c>
      <c r="AA22" s="407">
        <f t="shared" si="14"/>
        <v>4.9666479467606273E-2</v>
      </c>
      <c r="AB22" s="412">
        <f>VLOOKUP('Proxy Group Ticker'!$B16,vldatabase,5,FALSE)</f>
        <v>65</v>
      </c>
      <c r="AC22" s="412">
        <f>VLOOKUP('Proxy Group Ticker'!$B16,vldatabase,6,FALSE)</f>
        <v>45</v>
      </c>
      <c r="AD22" s="413">
        <f t="shared" si="15"/>
        <v>55</v>
      </c>
      <c r="AE22" s="414">
        <f t="shared" si="16"/>
        <v>2.05607476635514</v>
      </c>
      <c r="AF22" s="415">
        <f>VLOOKUP('Proxy Group Ticker'!$B16,vldatabase,10,FALSE)</f>
        <v>576.61</v>
      </c>
      <c r="AG22" s="415">
        <f>VLOOKUP('Proxy Group Ticker'!$B16,vldatabase,11,FALSE)</f>
        <v>595</v>
      </c>
      <c r="AH22" s="397">
        <f t="shared" si="17"/>
        <v>6.2988100832608307E-3</v>
      </c>
    </row>
    <row r="23" spans="1:34">
      <c r="A23" s="398">
        <f t="shared" si="0"/>
        <v>15</v>
      </c>
      <c r="B23" s="13" t="str">
        <f>'Proxy Group Ticker'!C17</f>
        <v>IDACORP, Inc.</v>
      </c>
      <c r="C23" s="404">
        <f>VLOOKUP('Proxy Group Ticker'!$B17,vldatabase,7,FALSE)</f>
        <v>7.1</v>
      </c>
      <c r="D23" s="404">
        <f>VLOOKUP('Proxy Group Ticker'!$B17,vldatabase,8,FALSE)</f>
        <v>4.2</v>
      </c>
      <c r="E23" s="404">
        <f>VLOOKUP('Proxy Group Ticker'!$B17,vldatabase,9,FALSE)</f>
        <v>74</v>
      </c>
      <c r="G23" s="405">
        <f t="shared" si="1"/>
        <v>0.40845070422535207</v>
      </c>
      <c r="H23" s="405">
        <f t="shared" si="2"/>
        <v>9.5945945945945937E-2</v>
      </c>
      <c r="I23" s="406">
        <f t="shared" si="3"/>
        <v>1.0221902185102447</v>
      </c>
      <c r="J23" s="407">
        <f t="shared" si="4"/>
        <v>9.8075007451658605E-2</v>
      </c>
      <c r="K23" s="407">
        <f t="shared" si="5"/>
        <v>4.005880586053661E-2</v>
      </c>
      <c r="M23" s="408">
        <f t="shared" si="6"/>
        <v>1.3590014336517804E-2</v>
      </c>
      <c r="N23" s="408">
        <f t="shared" si="7"/>
        <v>0.45185185185185184</v>
      </c>
      <c r="O23" s="397">
        <f t="shared" si="8"/>
        <v>6.1406731446487853E-3</v>
      </c>
      <c r="Q23" s="407">
        <f t="shared" si="9"/>
        <v>4.6199479005185395E-2</v>
      </c>
      <c r="R23" s="398">
        <f t="shared" si="10"/>
        <v>15</v>
      </c>
      <c r="S23" s="14" t="str">
        <f t="shared" si="11"/>
        <v>IDACORP, Inc.</v>
      </c>
      <c r="T23" s="409">
        <f>VLOOKUP('Proxy Group Ticker'!$B17,vldatabase,14,FALSE)</f>
        <v>0.52200000000000002</v>
      </c>
      <c r="U23" s="410">
        <f>VLOOKUP('Proxy Group Ticker'!$B17,vldatabase,16,FALSE)</f>
        <v>6384.7</v>
      </c>
      <c r="V23" s="410">
        <f t="shared" si="12"/>
        <v>3332.8134</v>
      </c>
      <c r="W23" s="411"/>
      <c r="X23" s="409">
        <f>VLOOKUP('Proxy Group Ticker'!$B17,vldatabase,15,FALSE)</f>
        <v>0.56999999999999995</v>
      </c>
      <c r="Y23" s="410">
        <f>VLOOKUP('Proxy Group Ticker'!$B17,vldatabase,17,FALSE)</f>
        <v>7300</v>
      </c>
      <c r="Z23" s="410">
        <f t="shared" si="13"/>
        <v>4161</v>
      </c>
      <c r="AA23" s="407">
        <f t="shared" si="14"/>
        <v>4.5387597731813889E-2</v>
      </c>
      <c r="AB23" s="412">
        <f>VLOOKUP('Proxy Group Ticker'!$B17,vldatabase,5,FALSE)</f>
        <v>150</v>
      </c>
      <c r="AC23" s="412">
        <f>VLOOKUP('Proxy Group Ticker'!$B17,vldatabase,6,FALSE)</f>
        <v>120</v>
      </c>
      <c r="AD23" s="413">
        <f t="shared" si="15"/>
        <v>135</v>
      </c>
      <c r="AE23" s="414">
        <f t="shared" si="16"/>
        <v>1.8243243243243243</v>
      </c>
      <c r="AF23" s="415">
        <f>VLOOKUP('Proxy Group Ticker'!$B17,vldatabase,10,FALSE)</f>
        <v>53.96</v>
      </c>
      <c r="AG23" s="415">
        <f>VLOOKUP('Proxy Group Ticker'!$B17,vldatabase,11,FALSE)</f>
        <v>56</v>
      </c>
      <c r="AH23" s="397">
        <f t="shared" si="17"/>
        <v>7.4493411918690189E-3</v>
      </c>
    </row>
    <row r="24" spans="1:34">
      <c r="A24" s="398">
        <f t="shared" si="0"/>
        <v>16</v>
      </c>
      <c r="B24" s="13" t="str">
        <f>'Proxy Group Ticker'!C18</f>
        <v>NorthWestern Energy Grp.</v>
      </c>
      <c r="C24" s="404">
        <f>VLOOKUP('Proxy Group Ticker'!$B18,vldatabase,7,FALSE)</f>
        <v>4.3</v>
      </c>
      <c r="D24" s="404">
        <f>VLOOKUP('Proxy Group Ticker'!$B18,vldatabase,8,FALSE)</f>
        <v>2.8</v>
      </c>
      <c r="E24" s="404">
        <f>VLOOKUP('Proxy Group Ticker'!$B18,vldatabase,9,FALSE)</f>
        <v>53.55</v>
      </c>
      <c r="G24" s="405">
        <f t="shared" si="1"/>
        <v>0.34883720930232559</v>
      </c>
      <c r="H24" s="405">
        <f t="shared" si="2"/>
        <v>8.0298786181139128E-2</v>
      </c>
      <c r="I24" s="406">
        <f t="shared" si="3"/>
        <v>1.0186374151840238</v>
      </c>
      <c r="J24" s="407">
        <f t="shared" si="4"/>
        <v>8.1795347997970169E-2</v>
      </c>
      <c r="K24" s="407">
        <f t="shared" si="5"/>
        <v>2.8533260929524479E-2</v>
      </c>
      <c r="M24" s="408">
        <f t="shared" si="6"/>
        <v>1.0429262682480534E-2</v>
      </c>
      <c r="N24" s="408">
        <f t="shared" si="7"/>
        <v>0.17615384615384622</v>
      </c>
      <c r="O24" s="397">
        <f t="shared" si="8"/>
        <v>1.8371547340677254E-3</v>
      </c>
      <c r="Q24" s="407">
        <f t="shared" si="9"/>
        <v>3.0370415663592203E-2</v>
      </c>
      <c r="R24" s="398">
        <f t="shared" si="10"/>
        <v>16</v>
      </c>
      <c r="S24" s="14" t="str">
        <f t="shared" si="11"/>
        <v>NorthWestern Energy Grp.</v>
      </c>
      <c r="T24" s="409">
        <f>VLOOKUP('Proxy Group Ticker'!$B18,vldatabase,14,FALSE)</f>
        <v>0.51400000000000001</v>
      </c>
      <c r="U24" s="410">
        <f>VLOOKUP('Proxy Group Ticker'!$B18,vldatabase,16,FALSE)</f>
        <v>5554.9</v>
      </c>
      <c r="V24" s="410">
        <f t="shared" si="12"/>
        <v>2855.2185999999997</v>
      </c>
      <c r="W24" s="411"/>
      <c r="X24" s="409">
        <f>VLOOKUP('Proxy Group Ticker'!$B18,vldatabase,15,FALSE)</f>
        <v>0.495</v>
      </c>
      <c r="Y24" s="410">
        <f>VLOOKUP('Proxy Group Ticker'!$B18,vldatabase,17,FALSE)</f>
        <v>6950</v>
      </c>
      <c r="Z24" s="410">
        <f t="shared" si="13"/>
        <v>3440.25</v>
      </c>
      <c r="AA24" s="407">
        <f t="shared" si="14"/>
        <v>3.7982730282138499E-2</v>
      </c>
      <c r="AB24" s="412">
        <f>VLOOKUP('Proxy Group Ticker'!$B18,vldatabase,5,FALSE)</f>
        <v>75</v>
      </c>
      <c r="AC24" s="412">
        <f>VLOOKUP('Proxy Group Ticker'!$B18,vldatabase,6,FALSE)</f>
        <v>55</v>
      </c>
      <c r="AD24" s="413">
        <f t="shared" si="15"/>
        <v>65</v>
      </c>
      <c r="AE24" s="414">
        <f t="shared" si="16"/>
        <v>1.2138188608776845</v>
      </c>
      <c r="AF24" s="415">
        <f>VLOOKUP('Proxy Group Ticker'!$B18,vldatabase,10,FALSE)</f>
        <v>61.32</v>
      </c>
      <c r="AG24" s="415">
        <f>VLOOKUP('Proxy Group Ticker'!$B18,vldatabase,11,FALSE)</f>
        <v>64</v>
      </c>
      <c r="AH24" s="397">
        <f t="shared" si="17"/>
        <v>8.5921079484128082E-3</v>
      </c>
    </row>
    <row r="25" spans="1:34">
      <c r="A25" s="398">
        <f t="shared" si="0"/>
        <v>17</v>
      </c>
      <c r="B25" s="13" t="str">
        <f>'Proxy Group Ticker'!C19</f>
        <v>Otter Tail Corp.</v>
      </c>
      <c r="C25" s="404">
        <f>VLOOKUP('Proxy Group Ticker'!$B19,vldatabase,7,FALSE)</f>
        <v>4.2</v>
      </c>
      <c r="D25" s="404">
        <f>VLOOKUP('Proxy Group Ticker'!$B19,vldatabase,8,FALSE)</f>
        <v>2.36</v>
      </c>
      <c r="E25" s="404">
        <f>VLOOKUP('Proxy Group Ticker'!$B19,vldatabase,9,FALSE)</f>
        <v>44.25</v>
      </c>
      <c r="G25" s="405">
        <f t="shared" si="1"/>
        <v>0.43809523809523815</v>
      </c>
      <c r="H25" s="405">
        <f t="shared" si="2"/>
        <v>9.4915254237288138E-2</v>
      </c>
      <c r="I25" s="406">
        <f t="shared" si="3"/>
        <v>1.0081363094553224</v>
      </c>
      <c r="J25" s="407">
        <f t="shared" si="4"/>
        <v>9.5687514117793318E-2</v>
      </c>
      <c r="K25" s="407">
        <f t="shared" si="5"/>
        <v>4.1920244280176128E-2</v>
      </c>
      <c r="M25" s="408">
        <f t="shared" si="6"/>
        <v>5.2152706667185382E-3</v>
      </c>
      <c r="N25" s="408">
        <f t="shared" si="7"/>
        <v>0.3896551724137931</v>
      </c>
      <c r="O25" s="397">
        <f t="shared" si="8"/>
        <v>2.0321571908248097E-3</v>
      </c>
      <c r="Q25" s="407">
        <f t="shared" si="9"/>
        <v>4.3952401471000935E-2</v>
      </c>
      <c r="R25" s="398">
        <f t="shared" si="10"/>
        <v>17</v>
      </c>
      <c r="S25" s="14" t="str">
        <f t="shared" si="11"/>
        <v>Otter Tail Corp.</v>
      </c>
      <c r="T25" s="409">
        <f>VLOOKUP('Proxy Group Ticker'!$B19,vldatabase,14,FALSE)</f>
        <v>0.58499999999999996</v>
      </c>
      <c r="U25" s="410">
        <f>VLOOKUP('Proxy Group Ticker'!$B19,vldatabase,16,FALSE)</f>
        <v>2287.9</v>
      </c>
      <c r="V25" s="410">
        <f t="shared" si="12"/>
        <v>1338.4214999999999</v>
      </c>
      <c r="W25" s="411"/>
      <c r="X25" s="409">
        <f>VLOOKUP('Proxy Group Ticker'!$B19,vldatabase,15,FALSE)</f>
        <v>0.57499999999999996</v>
      </c>
      <c r="Y25" s="410">
        <f>VLOOKUP('Proxy Group Ticker'!$B19,vldatabase,17,FALSE)</f>
        <v>2525</v>
      </c>
      <c r="Z25" s="410">
        <f t="shared" si="13"/>
        <v>1451.875</v>
      </c>
      <c r="AA25" s="407">
        <f t="shared" si="14"/>
        <v>1.6406104050152637E-2</v>
      </c>
      <c r="AB25" s="412">
        <f>VLOOKUP('Proxy Group Ticker'!$B19,vldatabase,5,FALSE)</f>
        <v>85</v>
      </c>
      <c r="AC25" s="412">
        <f>VLOOKUP('Proxy Group Ticker'!$B19,vldatabase,6,FALSE)</f>
        <v>60</v>
      </c>
      <c r="AD25" s="413">
        <f t="shared" si="15"/>
        <v>72.5</v>
      </c>
      <c r="AE25" s="414">
        <f t="shared" si="16"/>
        <v>1.6384180790960452</v>
      </c>
      <c r="AF25" s="415">
        <f>VLOOKUP('Proxy Group Ticker'!$B19,vldatabase,10,FALSE)</f>
        <v>41.83</v>
      </c>
      <c r="AG25" s="415">
        <f>VLOOKUP('Proxy Group Ticker'!$B19,vldatabase,11,FALSE)</f>
        <v>42.5</v>
      </c>
      <c r="AH25" s="397">
        <f t="shared" si="17"/>
        <v>3.1831134758937285E-3</v>
      </c>
    </row>
    <row r="26" spans="1:34">
      <c r="A26" s="398">
        <f t="shared" si="0"/>
        <v>18</v>
      </c>
      <c r="B26" s="13" t="str">
        <f>'Proxy Group Ticker'!C20</f>
        <v>Pinnacle West Capital</v>
      </c>
      <c r="C26" s="404">
        <f>VLOOKUP('Proxy Group Ticker'!$B20,vldatabase,7,FALSE)</f>
        <v>6.25</v>
      </c>
      <c r="D26" s="404">
        <f>VLOOKUP('Proxy Group Ticker'!$B20,vldatabase,8,FALSE)</f>
        <v>3.85</v>
      </c>
      <c r="E26" s="404">
        <f>VLOOKUP('Proxy Group Ticker'!$B20,vldatabase,9,FALSE)</f>
        <v>70</v>
      </c>
      <c r="G26" s="405">
        <f t="shared" si="1"/>
        <v>0.38400000000000001</v>
      </c>
      <c r="H26" s="405">
        <f t="shared" si="2"/>
        <v>8.9285714285714288E-2</v>
      </c>
      <c r="I26" s="406">
        <f t="shared" si="3"/>
        <v>1.0261604362780747</v>
      </c>
      <c r="J26" s="407">
        <f t="shared" si="4"/>
        <v>9.162146752482811E-2</v>
      </c>
      <c r="K26" s="407">
        <f t="shared" si="5"/>
        <v>3.5182643529533993E-2</v>
      </c>
      <c r="M26" s="408">
        <f t="shared" si="6"/>
        <v>1.5616539989246574E-2</v>
      </c>
      <c r="N26" s="408">
        <f t="shared" si="7"/>
        <v>0.37777777777777777</v>
      </c>
      <c r="O26" s="397">
        <f t="shared" si="8"/>
        <v>5.8995817737153722E-3</v>
      </c>
      <c r="Q26" s="407">
        <f t="shared" si="9"/>
        <v>4.1082225303249363E-2</v>
      </c>
      <c r="R26" s="398">
        <f t="shared" si="10"/>
        <v>18</v>
      </c>
      <c r="S26" s="14" t="str">
        <f t="shared" si="11"/>
        <v>Pinnacle West Capital</v>
      </c>
      <c r="T26" s="409">
        <f>VLOOKUP('Proxy Group Ticker'!$B20,vldatabase,14,FALSE)</f>
        <v>0.45600000000000002</v>
      </c>
      <c r="U26" s="410">
        <f>VLOOKUP('Proxy Group Ticker'!$B20,vldatabase,16,FALSE)</f>
        <v>14813</v>
      </c>
      <c r="V26" s="410">
        <f t="shared" si="12"/>
        <v>6754.7280000000001</v>
      </c>
      <c r="W26" s="411"/>
      <c r="X26" s="409">
        <f>VLOOKUP('Proxy Group Ticker'!$B20,vldatabase,15,FALSE)</f>
        <v>0.45</v>
      </c>
      <c r="Y26" s="410">
        <f>VLOOKUP('Proxy Group Ticker'!$B20,vldatabase,17,FALSE)</f>
        <v>19500</v>
      </c>
      <c r="Z26" s="410">
        <f t="shared" si="13"/>
        <v>8775</v>
      </c>
      <c r="AA26" s="407">
        <f t="shared" si="14"/>
        <v>5.3726378045459766E-2</v>
      </c>
      <c r="AB26" s="412">
        <f>VLOOKUP('Proxy Group Ticker'!$B20,vldatabase,5,FALSE)</f>
        <v>130</v>
      </c>
      <c r="AC26" s="412">
        <f>VLOOKUP('Proxy Group Ticker'!$B20,vldatabase,6,FALSE)</f>
        <v>95</v>
      </c>
      <c r="AD26" s="413">
        <f t="shared" si="15"/>
        <v>112.5</v>
      </c>
      <c r="AE26" s="414">
        <f t="shared" si="16"/>
        <v>1.6071428571428572</v>
      </c>
      <c r="AF26" s="415">
        <f>VLOOKUP('Proxy Group Ticker'!$B20,vldatabase,10,FALSE)</f>
        <v>119.1</v>
      </c>
      <c r="AG26" s="415">
        <f>VLOOKUP('Proxy Group Ticker'!$B20,vldatabase,11,FALSE)</f>
        <v>125</v>
      </c>
      <c r="AH26" s="397">
        <f t="shared" si="17"/>
        <v>9.7169582155312018E-3</v>
      </c>
    </row>
    <row r="27" spans="1:34">
      <c r="A27" s="398">
        <f t="shared" si="0"/>
        <v>19</v>
      </c>
      <c r="B27" s="13" t="str">
        <f>'Proxy Group Ticker'!C21</f>
        <v>Pub Sv Enterprise Grp.</v>
      </c>
      <c r="C27" s="404">
        <f>VLOOKUP('Proxy Group Ticker'!$B21,vldatabase,7,FALSE)</f>
        <v>5.25</v>
      </c>
      <c r="D27" s="404">
        <f>VLOOKUP('Proxy Group Ticker'!$B21,vldatabase,8,FALSE)</f>
        <v>3.24</v>
      </c>
      <c r="E27" s="404">
        <f>VLOOKUP('Proxy Group Ticker'!$B21,vldatabase,9,FALSE)</f>
        <v>42.25</v>
      </c>
      <c r="G27" s="405">
        <f t="shared" si="1"/>
        <v>0.38285714285714284</v>
      </c>
      <c r="H27" s="405">
        <f t="shared" si="2"/>
        <v>0.1242603550295858</v>
      </c>
      <c r="I27" s="406">
        <f t="shared" si="3"/>
        <v>1.0281639659629793</v>
      </c>
      <c r="J27" s="407">
        <f t="shared" si="4"/>
        <v>0.12776001943918677</v>
      </c>
      <c r="K27" s="407">
        <f t="shared" si="5"/>
        <v>4.8913836013860075E-2</v>
      </c>
      <c r="M27" s="408">
        <f t="shared" si="6"/>
        <v>6.2858988194076423E-3</v>
      </c>
      <c r="N27" s="408">
        <f t="shared" si="7"/>
        <v>0.5552631578947369</v>
      </c>
      <c r="O27" s="397">
        <f t="shared" si="8"/>
        <v>3.4903280286710859E-3</v>
      </c>
      <c r="Q27" s="407">
        <f t="shared" si="9"/>
        <v>5.2404164042531162E-2</v>
      </c>
      <c r="R27" s="398">
        <f t="shared" si="10"/>
        <v>19</v>
      </c>
      <c r="S27" s="14" t="str">
        <f t="shared" si="11"/>
        <v>Pub Sv Enterprise Grp.</v>
      </c>
      <c r="T27" s="409">
        <f>VLOOKUP('Proxy Group Ticker'!$B21,vldatabase,14,FALSE)</f>
        <v>0.45900000000000002</v>
      </c>
      <c r="U27" s="410">
        <f>VLOOKUP('Proxy Group Ticker'!$B21,vldatabase,16,FALSE)</f>
        <v>35078</v>
      </c>
      <c r="V27" s="410">
        <f t="shared" si="12"/>
        <v>16100.802000000001</v>
      </c>
      <c r="W27" s="411"/>
      <c r="X27" s="409">
        <f>VLOOKUP('Proxy Group Ticker'!$B21,vldatabase,15,FALSE)</f>
        <v>0.44</v>
      </c>
      <c r="Y27" s="410">
        <f>VLOOKUP('Proxy Group Ticker'!$B21,vldatabase,17,FALSE)</f>
        <v>48500</v>
      </c>
      <c r="Z27" s="410">
        <f t="shared" si="13"/>
        <v>21340</v>
      </c>
      <c r="AA27" s="407">
        <f t="shared" si="14"/>
        <v>5.7960324533318452E-2</v>
      </c>
      <c r="AB27" s="412">
        <f>VLOOKUP('Proxy Group Ticker'!$B21,vldatabase,5,FALSE)</f>
        <v>105</v>
      </c>
      <c r="AC27" s="412">
        <f>VLOOKUP('Proxy Group Ticker'!$B21,vldatabase,6,FALSE)</f>
        <v>85</v>
      </c>
      <c r="AD27" s="413">
        <f t="shared" si="15"/>
        <v>95</v>
      </c>
      <c r="AE27" s="414">
        <f t="shared" si="16"/>
        <v>2.2485207100591715</v>
      </c>
      <c r="AF27" s="415">
        <f>VLOOKUP('Proxy Group Ticker'!$B21,vldatabase,10,FALSE)</f>
        <v>498</v>
      </c>
      <c r="AG27" s="415">
        <f>VLOOKUP('Proxy Group Ticker'!$B21,vldatabase,11,FALSE)</f>
        <v>505</v>
      </c>
      <c r="AH27" s="397">
        <f t="shared" si="17"/>
        <v>2.7955707907365568E-3</v>
      </c>
    </row>
    <row r="28" spans="1:34">
      <c r="A28" s="398">
        <f t="shared" si="0"/>
        <v>20</v>
      </c>
      <c r="B28" s="13" t="str">
        <f>'Proxy Group Ticker'!C22</f>
        <v>Sempra</v>
      </c>
      <c r="C28" s="404">
        <f>VLOOKUP('Proxy Group Ticker'!$B22,vldatabase,7,FALSE)</f>
        <v>6.3</v>
      </c>
      <c r="D28" s="404">
        <f>VLOOKUP('Proxy Group Ticker'!$B22,vldatabase,8,FALSE)</f>
        <v>3.28</v>
      </c>
      <c r="E28" s="404">
        <f>VLOOKUP('Proxy Group Ticker'!$B22,vldatabase,9,FALSE)</f>
        <v>59.5</v>
      </c>
      <c r="G28" s="405">
        <f t="shared" si="1"/>
        <v>0.47936507936507938</v>
      </c>
      <c r="H28" s="405">
        <f t="shared" si="2"/>
        <v>0.10588235294117647</v>
      </c>
      <c r="I28" s="406">
        <f t="shared" si="3"/>
        <v>1.0343018118840879</v>
      </c>
      <c r="J28" s="407">
        <f t="shared" si="4"/>
        <v>0.1095143094936093</v>
      </c>
      <c r="K28" s="407">
        <f t="shared" si="5"/>
        <v>5.2497335662015886E-2</v>
      </c>
      <c r="M28" s="408">
        <f t="shared" si="6"/>
        <v>7.7271919008261971E-3</v>
      </c>
      <c r="N28" s="408">
        <f t="shared" si="7"/>
        <v>0.43333333333333335</v>
      </c>
      <c r="O28" s="397">
        <f t="shared" si="8"/>
        <v>3.348449823691352E-3</v>
      </c>
      <c r="Q28" s="407">
        <f t="shared" si="9"/>
        <v>5.584578548570724E-2</v>
      </c>
      <c r="R28" s="398">
        <f t="shared" si="10"/>
        <v>20</v>
      </c>
      <c r="S28" s="14" t="str">
        <f t="shared" si="11"/>
        <v>Sempra</v>
      </c>
      <c r="T28" s="409">
        <f>VLOOKUP('Proxy Group Ticker'!$B22,vldatabase,14,FALSE)</f>
        <v>0.48299999999999998</v>
      </c>
      <c r="U28" s="410">
        <f>VLOOKUP('Proxy Group Ticker'!$B22,vldatabase,16,FALSE)</f>
        <v>62800</v>
      </c>
      <c r="V28" s="410">
        <f t="shared" si="12"/>
        <v>30332.399999999998</v>
      </c>
      <c r="W28" s="411"/>
      <c r="X28" s="409">
        <f>VLOOKUP('Proxy Group Ticker'!$B22,vldatabase,15,FALSE)</f>
        <v>0.45</v>
      </c>
      <c r="Y28" s="410">
        <f>VLOOKUP('Proxy Group Ticker'!$B22,vldatabase,17,FALSE)</f>
        <v>95000</v>
      </c>
      <c r="Z28" s="410">
        <f t="shared" si="13"/>
        <v>42750</v>
      </c>
      <c r="AA28" s="407">
        <f t="shared" si="14"/>
        <v>7.1040439562201518E-2</v>
      </c>
      <c r="AB28" s="412">
        <f>VLOOKUP('Proxy Group Ticker'!$B22,vldatabase,5,FALSE)</f>
        <v>120</v>
      </c>
      <c r="AC28" s="412">
        <f>VLOOKUP('Proxy Group Ticker'!$B22,vldatabase,6,FALSE)</f>
        <v>90</v>
      </c>
      <c r="AD28" s="413">
        <f t="shared" si="15"/>
        <v>105</v>
      </c>
      <c r="AE28" s="414">
        <f t="shared" si="16"/>
        <v>1.7647058823529411</v>
      </c>
      <c r="AF28" s="415">
        <f>VLOOKUP('Proxy Group Ticker'!$B22,vldatabase,10,FALSE)</f>
        <v>650.63</v>
      </c>
      <c r="AG28" s="415">
        <f>VLOOKUP('Proxy Group Ticker'!$B22,vldatabase,11,FALSE)</f>
        <v>665</v>
      </c>
      <c r="AH28" s="397">
        <f t="shared" si="17"/>
        <v>4.3787420771348451E-3</v>
      </c>
    </row>
    <row r="29" spans="1:34">
      <c r="A29" s="398"/>
      <c r="B29" s="13"/>
      <c r="C29" s="404"/>
      <c r="D29" s="404"/>
      <c r="E29" s="404"/>
      <c r="G29" s="405"/>
      <c r="H29" s="405"/>
      <c r="I29" s="406"/>
      <c r="J29" s="407"/>
      <c r="K29" s="407"/>
      <c r="M29" s="408"/>
      <c r="N29" s="408"/>
      <c r="O29" s="397"/>
      <c r="Q29" s="407"/>
      <c r="R29" s="398"/>
      <c r="S29" s="14"/>
      <c r="T29" s="409"/>
      <c r="U29" s="410"/>
      <c r="V29" s="410"/>
      <c r="W29" s="411"/>
      <c r="X29" s="409"/>
      <c r="Y29" s="410"/>
      <c r="Z29" s="410"/>
      <c r="AA29" s="407"/>
      <c r="AB29" s="412"/>
      <c r="AC29" s="412"/>
      <c r="AD29" s="413"/>
      <c r="AE29" s="414"/>
      <c r="AF29" s="415"/>
      <c r="AG29" s="415"/>
      <c r="AH29" s="397"/>
    </row>
    <row r="30" spans="1:34">
      <c r="A30" s="398"/>
      <c r="B30" s="13"/>
      <c r="C30" s="404"/>
      <c r="D30" s="404"/>
      <c r="E30" s="404"/>
      <c r="G30" s="405"/>
      <c r="H30" s="405"/>
      <c r="I30" s="406"/>
      <c r="J30" s="407"/>
      <c r="K30" s="407"/>
      <c r="M30" s="408"/>
      <c r="N30" s="408"/>
      <c r="O30" s="397"/>
      <c r="Q30" s="407"/>
      <c r="R30" s="398"/>
      <c r="S30" s="14"/>
      <c r="T30" s="409"/>
      <c r="U30" s="410"/>
      <c r="V30" s="410"/>
      <c r="W30" s="411"/>
      <c r="X30" s="409"/>
      <c r="Y30" s="410"/>
      <c r="Z30" s="410"/>
      <c r="AA30" s="407"/>
      <c r="AB30" s="412"/>
      <c r="AC30" s="412"/>
      <c r="AD30" s="413"/>
      <c r="AE30" s="414"/>
      <c r="AF30" s="415"/>
      <c r="AG30" s="415"/>
      <c r="AH30" s="397"/>
    </row>
    <row r="31" spans="1:34" s="370" customFormat="1" ht="13">
      <c r="F31" s="416"/>
      <c r="H31" s="416"/>
      <c r="I31" s="416"/>
      <c r="M31" s="416"/>
      <c r="O31" s="416"/>
      <c r="R31" s="417" t="s">
        <v>21</v>
      </c>
      <c r="S31" s="164" t="str">
        <f>'Proxy Group Risk Measures'!B34</f>
        <v>The Value Line Investment Survey (Mar. 7, Apr. 18, and May 9, 2025).</v>
      </c>
      <c r="X31" s="416"/>
      <c r="Y31" s="416"/>
      <c r="Z31" s="416"/>
      <c r="AD31" s="416"/>
      <c r="AE31" s="416"/>
    </row>
    <row r="32" spans="1:34" s="370" customFormat="1" ht="13">
      <c r="F32" s="416"/>
      <c r="H32" s="416"/>
      <c r="I32" s="416"/>
      <c r="M32" s="416"/>
      <c r="O32" s="416"/>
      <c r="R32" s="370" t="s">
        <v>22</v>
      </c>
      <c r="S32" s="370" t="s">
        <v>283</v>
      </c>
      <c r="X32" s="416"/>
      <c r="Y32" s="416"/>
      <c r="Z32" s="416"/>
      <c r="AD32" s="416"/>
      <c r="AE32" s="416"/>
    </row>
    <row r="33" spans="6:31" s="370" customFormat="1" ht="13">
      <c r="F33" s="416"/>
      <c r="H33" s="416"/>
      <c r="I33" s="416"/>
      <c r="M33" s="416"/>
      <c r="O33" s="416"/>
      <c r="R33" s="417" t="s">
        <v>23</v>
      </c>
      <c r="S33" s="370" t="s">
        <v>284</v>
      </c>
      <c r="X33" s="416"/>
      <c r="Y33" s="416"/>
      <c r="Z33" s="416"/>
      <c r="AD33" s="416"/>
      <c r="AE33" s="416"/>
    </row>
    <row r="34" spans="6:31" s="370" customFormat="1" ht="13">
      <c r="F34" s="416"/>
      <c r="H34" s="416"/>
      <c r="I34" s="416"/>
      <c r="M34" s="416"/>
      <c r="O34" s="416"/>
      <c r="R34" s="417" t="s">
        <v>24</v>
      </c>
      <c r="S34" s="370" t="s">
        <v>285</v>
      </c>
      <c r="X34" s="416"/>
      <c r="Y34" s="416"/>
      <c r="Z34" s="416"/>
      <c r="AD34" s="416"/>
      <c r="AE34" s="416"/>
    </row>
    <row r="35" spans="6:31" s="370" customFormat="1" ht="13">
      <c r="F35" s="416"/>
      <c r="H35" s="416"/>
      <c r="I35" s="416"/>
      <c r="M35" s="416"/>
      <c r="O35" s="416"/>
      <c r="R35" s="417" t="s">
        <v>25</v>
      </c>
      <c r="S35" s="370" t="s">
        <v>1599</v>
      </c>
      <c r="X35" s="416"/>
      <c r="Y35" s="416"/>
      <c r="Z35" s="416"/>
      <c r="AD35" s="416"/>
      <c r="AE35" s="416"/>
    </row>
    <row r="36" spans="6:31" s="370" customFormat="1" ht="13">
      <c r="F36" s="416"/>
      <c r="H36" s="416"/>
      <c r="I36" s="416"/>
      <c r="M36" s="416"/>
      <c r="O36" s="416"/>
      <c r="R36" s="417" t="s">
        <v>26</v>
      </c>
      <c r="S36" s="370" t="s">
        <v>286</v>
      </c>
      <c r="X36" s="416"/>
      <c r="Y36" s="416"/>
      <c r="Z36" s="416"/>
      <c r="AD36" s="416"/>
      <c r="AE36" s="416"/>
    </row>
    <row r="37" spans="6:31" s="370" customFormat="1" ht="13">
      <c r="F37" s="416"/>
      <c r="H37" s="416"/>
      <c r="I37" s="416"/>
      <c r="M37" s="416"/>
      <c r="O37" s="416"/>
      <c r="R37" s="417" t="s">
        <v>27</v>
      </c>
      <c r="S37" s="370" t="s">
        <v>287</v>
      </c>
      <c r="X37" s="416"/>
      <c r="Y37" s="416"/>
      <c r="Z37" s="416"/>
      <c r="AD37" s="416"/>
      <c r="AE37" s="416"/>
    </row>
    <row r="38" spans="6:31" s="370" customFormat="1" ht="13">
      <c r="F38" s="416"/>
      <c r="H38" s="416"/>
      <c r="I38" s="416"/>
      <c r="M38" s="416"/>
      <c r="O38" s="416"/>
      <c r="R38" s="417" t="s">
        <v>28</v>
      </c>
      <c r="S38" s="370" t="s">
        <v>288</v>
      </c>
      <c r="X38" s="416"/>
      <c r="Y38" s="416"/>
      <c r="Z38" s="416"/>
      <c r="AD38" s="416"/>
      <c r="AE38" s="416"/>
    </row>
    <row r="39" spans="6:31" s="370" customFormat="1" ht="13">
      <c r="F39" s="416"/>
      <c r="H39" s="416"/>
      <c r="I39" s="416"/>
      <c r="M39" s="416"/>
      <c r="O39" s="416"/>
      <c r="R39" s="417" t="s">
        <v>29</v>
      </c>
      <c r="S39" s="370" t="s">
        <v>289</v>
      </c>
      <c r="T39" s="416"/>
      <c r="U39" s="418"/>
    </row>
    <row r="40" spans="6:31" s="370" customFormat="1" ht="13">
      <c r="F40" s="416"/>
      <c r="H40" s="416"/>
      <c r="I40" s="416"/>
      <c r="M40" s="416"/>
      <c r="O40" s="416"/>
      <c r="R40" s="417" t="s">
        <v>30</v>
      </c>
      <c r="S40" s="370" t="s">
        <v>1598</v>
      </c>
      <c r="T40" s="416"/>
      <c r="U40" s="418"/>
    </row>
  </sheetData>
  <mergeCells count="6">
    <mergeCell ref="AF7:AH7"/>
    <mergeCell ref="C7:E7"/>
    <mergeCell ref="M7:O7"/>
    <mergeCell ref="T7:V7"/>
    <mergeCell ref="X7:Z7"/>
    <mergeCell ref="AB7:AD7"/>
  </mergeCells>
  <printOptions horizontalCentered="1"/>
  <pageMargins left="0.5" right="0.5" top="0.75" bottom="0.25" header="0.5" footer="0.5"/>
  <pageSetup scale="83" fitToWidth="2" orientation="landscape" r:id="rId1"/>
  <headerFooter alignWithMargins="0"/>
  <colBreaks count="1" manualBreakCount="1">
    <brk id="17" max="38"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pageSetUpPr fitToPage="1"/>
  </sheetPr>
  <dimension ref="A1:S43"/>
  <sheetViews>
    <sheetView view="pageBreakPreview" zoomScaleNormal="100" zoomScaleSheetLayoutView="75" workbookViewId="0"/>
  </sheetViews>
  <sheetFormatPr defaultColWidth="9.26953125" defaultRowHeight="15.5"/>
  <cols>
    <col min="1" max="1" width="3.7265625" style="19" customWidth="1"/>
    <col min="2" max="2" width="24.453125" style="1" customWidth="1"/>
    <col min="3" max="3" width="7.7265625" style="12" customWidth="1"/>
    <col min="4" max="4" width="8.26953125" style="12" customWidth="1"/>
    <col min="5" max="5" width="7.7265625" style="12" customWidth="1"/>
    <col min="6" max="6" width="10.26953125" style="12" customWidth="1"/>
    <col min="7" max="7" width="9.26953125" style="12" customWidth="1"/>
    <col min="8" max="8" width="6.7265625" style="371" customWidth="1"/>
    <col min="9" max="9" width="11.7265625" style="371" customWidth="1"/>
    <col min="10" max="10" width="9.81640625" style="67" customWidth="1"/>
    <col min="11" max="11" width="11.7265625" style="371" customWidth="1"/>
    <col min="12" max="12" width="11.7265625" style="12" customWidth="1"/>
    <col min="13" max="15" width="3.7265625" style="1" customWidth="1"/>
    <col min="16" max="16" width="7.1796875" style="1" bestFit="1" customWidth="1"/>
    <col min="17" max="17" width="9.26953125" style="1"/>
    <col min="18" max="18" width="9.26953125" style="1" customWidth="1"/>
    <col min="19" max="19" width="7.26953125" style="67" customWidth="1"/>
    <col min="20" max="16384" width="9.26953125" style="1"/>
  </cols>
  <sheetData>
    <row r="1" spans="1:19">
      <c r="A1" s="2" t="str">
        <f>'Exhibit List'!C12</f>
        <v>CAPM</v>
      </c>
      <c r="M1" s="63" t="str">
        <f>'Exhibit List'!B12</f>
        <v>Exhibit AMM-7</v>
      </c>
      <c r="N1" s="63"/>
      <c r="O1" s="63"/>
      <c r="P1" s="63"/>
    </row>
    <row r="2" spans="1:19">
      <c r="A2" s="2"/>
      <c r="B2" s="91"/>
      <c r="M2" s="63" t="s">
        <v>121</v>
      </c>
      <c r="N2" s="63"/>
      <c r="O2" s="63"/>
      <c r="P2" s="63"/>
    </row>
    <row r="3" spans="1:19">
      <c r="A3" s="62" t="str">
        <f>'Exhibit List'!D12</f>
        <v>UTILITY GROUP</v>
      </c>
    </row>
    <row r="4" spans="1:19">
      <c r="A4" s="62"/>
      <c r="M4" s="63"/>
      <c r="N4" s="63"/>
      <c r="O4" s="63"/>
      <c r="P4" s="63"/>
    </row>
    <row r="5" spans="1:19">
      <c r="B5" s="12"/>
      <c r="C5" s="12" t="s">
        <v>21</v>
      </c>
      <c r="D5" s="12" t="s">
        <v>22</v>
      </c>
      <c r="F5" s="12" t="s">
        <v>23</v>
      </c>
      <c r="H5" s="12" t="s">
        <v>24</v>
      </c>
      <c r="I5" s="12"/>
      <c r="J5" s="12" t="s">
        <v>25</v>
      </c>
      <c r="K5" s="12" t="s">
        <v>26</v>
      </c>
    </row>
    <row r="6" spans="1:19" ht="18">
      <c r="B6" s="308"/>
      <c r="C6" s="1454" t="s">
        <v>1461</v>
      </c>
      <c r="D6" s="1454"/>
      <c r="E6" s="1454"/>
      <c r="F6" s="311"/>
      <c r="G6" s="311"/>
      <c r="H6" s="372"/>
      <c r="I6" s="372"/>
      <c r="J6" s="373"/>
      <c r="K6" s="372"/>
      <c r="L6" s="311"/>
    </row>
    <row r="7" spans="1:19">
      <c r="B7" s="308"/>
      <c r="C7" s="311" t="s">
        <v>290</v>
      </c>
      <c r="D7" s="311" t="s">
        <v>291</v>
      </c>
      <c r="E7" s="311"/>
      <c r="F7" s="311" t="s">
        <v>292</v>
      </c>
      <c r="G7" s="311" t="s">
        <v>293</v>
      </c>
      <c r="H7" s="310"/>
      <c r="I7" s="311" t="s">
        <v>294</v>
      </c>
      <c r="J7" s="311" t="s">
        <v>74</v>
      </c>
      <c r="K7" s="311" t="s">
        <v>295</v>
      </c>
      <c r="L7" s="311" t="s">
        <v>296</v>
      </c>
    </row>
    <row r="8" spans="1:19" ht="15.65" customHeight="1">
      <c r="B8" s="374" t="s">
        <v>78</v>
      </c>
      <c r="C8" s="314" t="s">
        <v>242</v>
      </c>
      <c r="D8" s="314" t="s">
        <v>250</v>
      </c>
      <c r="E8" s="191" t="s">
        <v>1462</v>
      </c>
      <c r="F8" s="314" t="s">
        <v>297</v>
      </c>
      <c r="G8" s="314" t="s">
        <v>298</v>
      </c>
      <c r="H8" s="375" t="s">
        <v>67</v>
      </c>
      <c r="I8" s="314" t="s">
        <v>99</v>
      </c>
      <c r="J8" s="314" t="s">
        <v>81</v>
      </c>
      <c r="K8" s="375" t="s">
        <v>259</v>
      </c>
      <c r="L8" s="314" t="s">
        <v>99</v>
      </c>
    </row>
    <row r="9" spans="1:19">
      <c r="A9" s="162">
        <f>A8+1</f>
        <v>1</v>
      </c>
      <c r="B9" s="19" t="str">
        <f>VLOOKUP('Proxy Group Ticker'!$B3,vldatabase,2,FALSE)</f>
        <v>Alliant Energy</v>
      </c>
      <c r="C9" s="179">
        <f>ROUND('2025 05 Market DCF'!$M$409,3)</f>
        <v>1.7000000000000001E-2</v>
      </c>
      <c r="D9" s="179">
        <f>ROUND('2025 05 Market DCF'!$V$410,3)</f>
        <v>0.10299999999999999</v>
      </c>
      <c r="E9" s="179">
        <f>C9+D9</f>
        <v>0.12</v>
      </c>
      <c r="F9" s="179">
        <f>ROUND('Bond Yields'!$G$14,3)</f>
        <v>4.8000000000000001E-2</v>
      </c>
      <c r="G9" s="179">
        <f>E9-F9</f>
        <v>7.1999999999999995E-2</v>
      </c>
      <c r="H9" s="371">
        <f>VLOOKUP('Proxy Group Ticker'!$B3,vldatabase,23,FALSE)</f>
        <v>0.8</v>
      </c>
      <c r="I9" s="179">
        <f>IF(H9="n/a","n/a",H9*G9+F9)</f>
        <v>0.1056</v>
      </c>
      <c r="J9" s="376">
        <f>VLOOKUP('Proxy Group Ticker'!$B3,vldatabase,28,FALSE)</f>
        <v>16300</v>
      </c>
      <c r="K9" s="377">
        <f>IF(J9&gt;'Kroll Size Adjustment'!$B$9,'Kroll Size Adjustment'!$D$9,IF(J9&gt;'Kroll Size Adjustment'!$B$10,'Kroll Size Adjustment'!$D$10,IF(J9&gt;'Kroll Size Adjustment'!$B$11,'Kroll Size Adjustment'!$D$11,IF(J9&gt;'Kroll Size Adjustment'!$B$12,'Kroll Size Adjustment'!$D$12,IF(J9&gt;'Kroll Size Adjustment'!$B$13,'Kroll Size Adjustment'!$D$13,IF(J9&gt;'Kroll Size Adjustment'!$B$14,'Kroll Size Adjustment'!$D$14,IF(J9&gt;'Kroll Size Adjustment'!$B$15,'Kroll Size Adjustment'!$D$15,IF(J9&gt;'Kroll Size Adjustment'!$B$16,'Kroll Size Adjustment'!$D$16,"ERROR"))))))))</f>
        <v>4.8999999999999998E-3</v>
      </c>
      <c r="L9" s="179">
        <f>IF(I9="n/a","n/a",(I9+K9))</f>
        <v>0.1105</v>
      </c>
      <c r="P9" s="193">
        <f>IF(I9="n/a","n/a",IF(I9&lt;$C$42,"LOW",IF(I9&gt;$C$43,"HIGH",I9)))</f>
        <v>0.1056</v>
      </c>
      <c r="Q9" s="179"/>
      <c r="S9" s="193">
        <f>IF(L9="n/a","n/a",IF(L9&lt;$C$42,"LOW",IF(TRUNC(L9,3)&gt;$C$43,"HIGH",L9)))</f>
        <v>0.1105</v>
      </c>
    </row>
    <row r="10" spans="1:19">
      <c r="A10" s="162">
        <f t="shared" ref="A10:A28" si="0">A9+1</f>
        <v>2</v>
      </c>
      <c r="B10" s="19" t="str">
        <f>VLOOKUP('Proxy Group Ticker'!$B4,vldatabase,2,FALSE)</f>
        <v>American Elec Pwr</v>
      </c>
      <c r="C10" s="179">
        <f>ROUND('2025 05 Market DCF'!$M$409,3)</f>
        <v>1.7000000000000001E-2</v>
      </c>
      <c r="D10" s="179">
        <f>ROUND('2025 05 Market DCF'!$V$410,3)</f>
        <v>0.10299999999999999</v>
      </c>
      <c r="E10" s="179">
        <f t="shared" ref="E10:E28" si="1">C10+D10</f>
        <v>0.12</v>
      </c>
      <c r="F10" s="179">
        <f>ROUND('Bond Yields'!$G$14,3)</f>
        <v>4.8000000000000001E-2</v>
      </c>
      <c r="G10" s="179">
        <f t="shared" ref="G10:G28" si="2">E10-F10</f>
        <v>7.1999999999999995E-2</v>
      </c>
      <c r="H10" s="371">
        <f>VLOOKUP('Proxy Group Ticker'!$B4,vldatabase,23,FALSE)</f>
        <v>0.7</v>
      </c>
      <c r="I10" s="179">
        <f t="shared" ref="I10:I28" si="3">IF(H10="n/a","n/a",H10*G10+F10)</f>
        <v>9.8399999999999987E-2</v>
      </c>
      <c r="J10" s="376">
        <f>VLOOKUP('Proxy Group Ticker'!$B4,vldatabase,28,FALSE)</f>
        <v>52700</v>
      </c>
      <c r="K10" s="377">
        <f>IF(J10&gt;'Kroll Size Adjustment'!$B$9,'Kroll Size Adjustment'!$D$9,IF(J10&gt;'Kroll Size Adjustment'!$B$10,'Kroll Size Adjustment'!$D$10,IF(J10&gt;'Kroll Size Adjustment'!$B$11,'Kroll Size Adjustment'!$D$11,IF(J10&gt;'Kroll Size Adjustment'!$B$12,'Kroll Size Adjustment'!$D$12,IF(J10&gt;'Kroll Size Adjustment'!$B$13,'Kroll Size Adjustment'!$D$13,IF(J10&gt;'Kroll Size Adjustment'!$B$14,'Kroll Size Adjustment'!$D$14,IF(J10&gt;'Kroll Size Adjustment'!$B$15,'Kroll Size Adjustment'!$D$15,IF(J10&gt;'Kroll Size Adjustment'!$B$16,'Kroll Size Adjustment'!$D$16,"ERROR"))))))))</f>
        <v>-1E-4</v>
      </c>
      <c r="L10" s="179">
        <f t="shared" ref="L10:L28" si="4">IF(I10="n/a","n/a",(I10+K10))</f>
        <v>9.8299999999999985E-2</v>
      </c>
      <c r="P10" s="193">
        <f t="shared" ref="P10:P28" si="5">IF(I10="n/a","n/a",IF(I10&lt;$C$42,"LOW",IF(I10&gt;$C$43,"HIGH",I10)))</f>
        <v>9.8399999999999987E-2</v>
      </c>
      <c r="Q10" s="179"/>
      <c r="S10" s="193">
        <f t="shared" ref="S10:S28" si="6">IF(L10="n/a","n/a",IF(L10&lt;$C$42,"LOW",IF(TRUNC(L10,3)&gt;$C$43,"HIGH",L10)))</f>
        <v>9.8299999999999985E-2</v>
      </c>
    </row>
    <row r="11" spans="1:19">
      <c r="A11" s="162">
        <f t="shared" si="0"/>
        <v>3</v>
      </c>
      <c r="B11" s="19" t="str">
        <f>VLOOKUP('Proxy Group Ticker'!$B5,vldatabase,2,FALSE)</f>
        <v>Avista Corp.</v>
      </c>
      <c r="C11" s="179">
        <f>ROUND('2025 05 Market DCF'!$M$409,3)</f>
        <v>1.7000000000000001E-2</v>
      </c>
      <c r="D11" s="179">
        <f>ROUND('2025 05 Market DCF'!$V$410,3)</f>
        <v>0.10299999999999999</v>
      </c>
      <c r="E11" s="179">
        <f t="shared" si="1"/>
        <v>0.12</v>
      </c>
      <c r="F11" s="179">
        <f>ROUND('Bond Yields'!$G$14,3)</f>
        <v>4.8000000000000001E-2</v>
      </c>
      <c r="G11" s="179">
        <f t="shared" si="2"/>
        <v>7.1999999999999995E-2</v>
      </c>
      <c r="H11" s="371">
        <f>VLOOKUP('Proxy Group Ticker'!$B5,vldatabase,23,FALSE)</f>
        <v>0.75</v>
      </c>
      <c r="I11" s="179">
        <f t="shared" si="3"/>
        <v>0.10199999999999999</v>
      </c>
      <c r="J11" s="376">
        <f>VLOOKUP('Proxy Group Ticker'!$B5,vldatabase,28,FALSE)</f>
        <v>3100</v>
      </c>
      <c r="K11" s="377">
        <f>IF(J11&gt;'Kroll Size Adjustment'!$B$9,'Kroll Size Adjustment'!$D$9,IF(J11&gt;'Kroll Size Adjustment'!$B$10,'Kroll Size Adjustment'!$D$10,IF(J11&gt;'Kroll Size Adjustment'!$B$11,'Kroll Size Adjustment'!$D$11,IF(J11&gt;'Kroll Size Adjustment'!$B$12,'Kroll Size Adjustment'!$D$12,IF(J11&gt;'Kroll Size Adjustment'!$B$13,'Kroll Size Adjustment'!$D$13,IF(J11&gt;'Kroll Size Adjustment'!$B$14,'Kroll Size Adjustment'!$D$14,IF(J11&gt;'Kroll Size Adjustment'!$B$15,'Kroll Size Adjustment'!$D$15,IF(J11&gt;'Kroll Size Adjustment'!$B$16,'Kroll Size Adjustment'!$D$16,"ERROR"))))))))</f>
        <v>0.01</v>
      </c>
      <c r="L11" s="179">
        <f t="shared" si="4"/>
        <v>0.11199999999999999</v>
      </c>
      <c r="P11" s="193">
        <f t="shared" si="5"/>
        <v>0.10199999999999999</v>
      </c>
      <c r="Q11" s="179"/>
      <c r="S11" s="193">
        <f t="shared" si="6"/>
        <v>0.11199999999999999</v>
      </c>
    </row>
    <row r="12" spans="1:19">
      <c r="A12" s="162">
        <f t="shared" si="0"/>
        <v>4</v>
      </c>
      <c r="B12" s="19" t="str">
        <f>VLOOKUP('Proxy Group Ticker'!$B6,vldatabase,2,FALSE)</f>
        <v>Black Hills Corp.</v>
      </c>
      <c r="C12" s="179">
        <f>ROUND('2025 05 Market DCF'!$M$409,3)</f>
        <v>1.7000000000000001E-2</v>
      </c>
      <c r="D12" s="179">
        <f>ROUND('2025 05 Market DCF'!$V$410,3)</f>
        <v>0.10299999999999999</v>
      </c>
      <c r="E12" s="179">
        <f t="shared" si="1"/>
        <v>0.12</v>
      </c>
      <c r="F12" s="179">
        <f>ROUND('Bond Yields'!$G$14,3)</f>
        <v>4.8000000000000001E-2</v>
      </c>
      <c r="G12" s="179">
        <f t="shared" si="2"/>
        <v>7.1999999999999995E-2</v>
      </c>
      <c r="H12" s="371">
        <f>VLOOKUP('Proxy Group Ticker'!$B6,vldatabase,23,FALSE)</f>
        <v>0.9</v>
      </c>
      <c r="I12" s="179">
        <f t="shared" si="3"/>
        <v>0.1128</v>
      </c>
      <c r="J12" s="376">
        <f>VLOOKUP('Proxy Group Ticker'!$B6,vldatabase,28,FALSE)</f>
        <v>4100</v>
      </c>
      <c r="K12" s="377">
        <f>IF(J12&gt;'Kroll Size Adjustment'!$B$9,'Kroll Size Adjustment'!$D$9,IF(J12&gt;'Kroll Size Adjustment'!$B$10,'Kroll Size Adjustment'!$D$10,IF(J12&gt;'Kroll Size Adjustment'!$B$11,'Kroll Size Adjustment'!$D$11,IF(J12&gt;'Kroll Size Adjustment'!$B$12,'Kroll Size Adjustment'!$D$12,IF(J12&gt;'Kroll Size Adjustment'!$B$13,'Kroll Size Adjustment'!$D$13,IF(J12&gt;'Kroll Size Adjustment'!$B$14,'Kroll Size Adjustment'!$D$14,IF(J12&gt;'Kroll Size Adjustment'!$B$15,'Kroll Size Adjustment'!$D$15,IF(J12&gt;'Kroll Size Adjustment'!$B$16,'Kroll Size Adjustment'!$D$16,"ERROR"))))))))</f>
        <v>7.4000000000000003E-3</v>
      </c>
      <c r="L12" s="179">
        <f t="shared" si="4"/>
        <v>0.1202</v>
      </c>
      <c r="P12" s="193">
        <f t="shared" si="5"/>
        <v>0.1128</v>
      </c>
      <c r="Q12" s="179"/>
      <c r="S12" s="193">
        <f t="shared" si="6"/>
        <v>0.1202</v>
      </c>
    </row>
    <row r="13" spans="1:19">
      <c r="A13" s="162">
        <f t="shared" si="0"/>
        <v>5</v>
      </c>
      <c r="B13" s="19" t="str">
        <f>VLOOKUP('Proxy Group Ticker'!$B7,vldatabase,2,FALSE)</f>
        <v>CenterPoint Energy</v>
      </c>
      <c r="C13" s="179">
        <f>ROUND('2025 05 Market DCF'!$M$409,3)</f>
        <v>1.7000000000000001E-2</v>
      </c>
      <c r="D13" s="179">
        <f>ROUND('2025 05 Market DCF'!$V$410,3)</f>
        <v>0.10299999999999999</v>
      </c>
      <c r="E13" s="179">
        <f t="shared" si="1"/>
        <v>0.12</v>
      </c>
      <c r="F13" s="179">
        <f>ROUND('Bond Yields'!$G$14,3)</f>
        <v>4.8000000000000001E-2</v>
      </c>
      <c r="G13" s="179">
        <f t="shared" si="2"/>
        <v>7.1999999999999995E-2</v>
      </c>
      <c r="H13" s="371">
        <f>VLOOKUP('Proxy Group Ticker'!$B7,vldatabase,23,FALSE)</f>
        <v>0.85</v>
      </c>
      <c r="I13" s="179">
        <f t="shared" si="3"/>
        <v>0.10919999999999999</v>
      </c>
      <c r="J13" s="376">
        <f>VLOOKUP('Proxy Group Ticker'!$B7,vldatabase,28,FALSE)</f>
        <v>21200</v>
      </c>
      <c r="K13" s="377">
        <f>IF(J13&gt;'Kroll Size Adjustment'!$B$9,'Kroll Size Adjustment'!$D$9,IF(J13&gt;'Kroll Size Adjustment'!$B$10,'Kroll Size Adjustment'!$D$10,IF(J13&gt;'Kroll Size Adjustment'!$B$11,'Kroll Size Adjustment'!$D$11,IF(J13&gt;'Kroll Size Adjustment'!$B$12,'Kroll Size Adjustment'!$D$12,IF(J13&gt;'Kroll Size Adjustment'!$B$13,'Kroll Size Adjustment'!$D$13,IF(J13&gt;'Kroll Size Adjustment'!$B$14,'Kroll Size Adjustment'!$D$14,IF(J13&gt;'Kroll Size Adjustment'!$B$15,'Kroll Size Adjustment'!$D$15,IF(J13&gt;'Kroll Size Adjustment'!$B$16,'Kroll Size Adjustment'!$D$16,"ERROR"))))))))</f>
        <v>3.3E-3</v>
      </c>
      <c r="L13" s="179">
        <f t="shared" si="4"/>
        <v>0.11249999999999999</v>
      </c>
      <c r="P13" s="193">
        <f t="shared" si="5"/>
        <v>0.10919999999999999</v>
      </c>
      <c r="Q13" s="179"/>
      <c r="S13" s="193">
        <f t="shared" si="6"/>
        <v>0.11249999999999999</v>
      </c>
    </row>
    <row r="14" spans="1:19">
      <c r="A14" s="162">
        <f t="shared" si="0"/>
        <v>6</v>
      </c>
      <c r="B14" s="19" t="str">
        <f>VLOOKUP('Proxy Group Ticker'!$B8,vldatabase,2,FALSE)</f>
        <v>CMS Energy Corp.</v>
      </c>
      <c r="C14" s="179">
        <f>ROUND('2025 05 Market DCF'!$M$409,3)</f>
        <v>1.7000000000000001E-2</v>
      </c>
      <c r="D14" s="179">
        <f>ROUND('2025 05 Market DCF'!$V$410,3)</f>
        <v>0.10299999999999999</v>
      </c>
      <c r="E14" s="179">
        <f t="shared" si="1"/>
        <v>0.12</v>
      </c>
      <c r="F14" s="179">
        <f>ROUND('Bond Yields'!$G$14,3)</f>
        <v>4.8000000000000001E-2</v>
      </c>
      <c r="G14" s="179">
        <f t="shared" si="2"/>
        <v>7.1999999999999995E-2</v>
      </c>
      <c r="H14" s="371">
        <f>VLOOKUP('Proxy Group Ticker'!$B8,vldatabase,23,FALSE)</f>
        <v>0.7</v>
      </c>
      <c r="I14" s="179">
        <f t="shared" si="3"/>
        <v>9.8399999999999987E-2</v>
      </c>
      <c r="J14" s="376">
        <f>VLOOKUP('Proxy Group Ticker'!$B8,vldatabase,28,FALSE)</f>
        <v>20800</v>
      </c>
      <c r="K14" s="377">
        <f>IF(J14&gt;'Kroll Size Adjustment'!$B$9,'Kroll Size Adjustment'!$D$9,IF(J14&gt;'Kroll Size Adjustment'!$B$10,'Kroll Size Adjustment'!$D$10,IF(J14&gt;'Kroll Size Adjustment'!$B$11,'Kroll Size Adjustment'!$D$11,IF(J14&gt;'Kroll Size Adjustment'!$B$12,'Kroll Size Adjustment'!$D$12,IF(J14&gt;'Kroll Size Adjustment'!$B$13,'Kroll Size Adjustment'!$D$13,IF(J14&gt;'Kroll Size Adjustment'!$B$14,'Kroll Size Adjustment'!$D$14,IF(J14&gt;'Kroll Size Adjustment'!$B$15,'Kroll Size Adjustment'!$D$15,IF(J14&gt;'Kroll Size Adjustment'!$B$16,'Kroll Size Adjustment'!$D$16,"ERROR"))))))))</f>
        <v>3.3E-3</v>
      </c>
      <c r="L14" s="179">
        <f t="shared" si="4"/>
        <v>0.10169999999999998</v>
      </c>
      <c r="P14" s="193">
        <f t="shared" si="5"/>
        <v>9.8399999999999987E-2</v>
      </c>
      <c r="Q14" s="179"/>
      <c r="S14" s="193">
        <f t="shared" si="6"/>
        <v>0.10169999999999998</v>
      </c>
    </row>
    <row r="15" spans="1:19">
      <c r="A15" s="162">
        <f t="shared" si="0"/>
        <v>7</v>
      </c>
      <c r="B15" s="19" t="str">
        <f>VLOOKUP('Proxy Group Ticker'!$B9,vldatabase,2,FALSE)</f>
        <v>Dominion Energy</v>
      </c>
      <c r="C15" s="179">
        <f>ROUND('2025 05 Market DCF'!$M$409,3)</f>
        <v>1.7000000000000001E-2</v>
      </c>
      <c r="D15" s="179">
        <f>ROUND('2025 05 Market DCF'!$V$410,3)</f>
        <v>0.10299999999999999</v>
      </c>
      <c r="E15" s="179">
        <f t="shared" si="1"/>
        <v>0.12</v>
      </c>
      <c r="F15" s="179">
        <f>ROUND('Bond Yields'!$G$14,3)</f>
        <v>4.8000000000000001E-2</v>
      </c>
      <c r="G15" s="179">
        <f t="shared" si="2"/>
        <v>7.1999999999999995E-2</v>
      </c>
      <c r="H15" s="371">
        <f>VLOOKUP('Proxy Group Ticker'!$B9,vldatabase,23,FALSE)</f>
        <v>0.75</v>
      </c>
      <c r="I15" s="179">
        <f t="shared" si="3"/>
        <v>0.10199999999999999</v>
      </c>
      <c r="J15" s="376">
        <f>VLOOKUP('Proxy Group Ticker'!$B9,vldatabase,28,FALSE)</f>
        <v>50400</v>
      </c>
      <c r="K15" s="377">
        <f>IF(J15&gt;'Kroll Size Adjustment'!$B$9,'Kroll Size Adjustment'!$D$9,IF(J15&gt;'Kroll Size Adjustment'!$B$10,'Kroll Size Adjustment'!$D$10,IF(J15&gt;'Kroll Size Adjustment'!$B$11,'Kroll Size Adjustment'!$D$11,IF(J15&gt;'Kroll Size Adjustment'!$B$12,'Kroll Size Adjustment'!$D$12,IF(J15&gt;'Kroll Size Adjustment'!$B$13,'Kroll Size Adjustment'!$D$13,IF(J15&gt;'Kroll Size Adjustment'!$B$14,'Kroll Size Adjustment'!$D$14,IF(J15&gt;'Kroll Size Adjustment'!$B$15,'Kroll Size Adjustment'!$D$15,IF(J15&gt;'Kroll Size Adjustment'!$B$16,'Kroll Size Adjustment'!$D$16,"ERROR"))))))))</f>
        <v>-1E-4</v>
      </c>
      <c r="L15" s="179">
        <f t="shared" si="4"/>
        <v>0.10189999999999999</v>
      </c>
      <c r="P15" s="193">
        <f t="shared" si="5"/>
        <v>0.10199999999999999</v>
      </c>
      <c r="Q15" s="179"/>
      <c r="S15" s="193">
        <f t="shared" si="6"/>
        <v>0.10189999999999999</v>
      </c>
    </row>
    <row r="16" spans="1:19">
      <c r="A16" s="162">
        <f t="shared" si="0"/>
        <v>8</v>
      </c>
      <c r="B16" s="19" t="str">
        <f>VLOOKUP('Proxy Group Ticker'!$B10,vldatabase,2,FALSE)</f>
        <v>DTE Energy Co.</v>
      </c>
      <c r="C16" s="179">
        <f>ROUND('2025 05 Market DCF'!$M$409,3)</f>
        <v>1.7000000000000001E-2</v>
      </c>
      <c r="D16" s="179">
        <f>ROUND('2025 05 Market DCF'!$V$410,3)</f>
        <v>0.10299999999999999</v>
      </c>
      <c r="E16" s="179">
        <f t="shared" si="1"/>
        <v>0.12</v>
      </c>
      <c r="F16" s="179">
        <f>ROUND('Bond Yields'!$G$14,3)</f>
        <v>4.8000000000000001E-2</v>
      </c>
      <c r="G16" s="179">
        <f t="shared" si="2"/>
        <v>7.1999999999999995E-2</v>
      </c>
      <c r="H16" s="371">
        <f>VLOOKUP('Proxy Group Ticker'!$B10,vldatabase,23,FALSE)</f>
        <v>0.85</v>
      </c>
      <c r="I16" s="179">
        <f t="shared" si="3"/>
        <v>0.10919999999999999</v>
      </c>
      <c r="J16" s="376">
        <f>VLOOKUP('Proxy Group Ticker'!$B10,vldatabase,28,FALSE)</f>
        <v>25800</v>
      </c>
      <c r="K16" s="377">
        <f>IF(J16&gt;'Kroll Size Adjustment'!$B$9,'Kroll Size Adjustment'!$D$9,IF(J16&gt;'Kroll Size Adjustment'!$B$10,'Kroll Size Adjustment'!$D$10,IF(J16&gt;'Kroll Size Adjustment'!$B$11,'Kroll Size Adjustment'!$D$11,IF(J16&gt;'Kroll Size Adjustment'!$B$12,'Kroll Size Adjustment'!$D$12,IF(J16&gt;'Kroll Size Adjustment'!$B$13,'Kroll Size Adjustment'!$D$13,IF(J16&gt;'Kroll Size Adjustment'!$B$14,'Kroll Size Adjustment'!$D$14,IF(J16&gt;'Kroll Size Adjustment'!$B$15,'Kroll Size Adjustment'!$D$15,IF(J16&gt;'Kroll Size Adjustment'!$B$16,'Kroll Size Adjustment'!$D$16,"ERROR"))))))))</f>
        <v>3.3E-3</v>
      </c>
      <c r="L16" s="179">
        <f t="shared" si="4"/>
        <v>0.11249999999999999</v>
      </c>
      <c r="P16" s="193">
        <f t="shared" si="5"/>
        <v>0.10919999999999999</v>
      </c>
      <c r="Q16" s="179"/>
      <c r="S16" s="193">
        <f t="shared" si="6"/>
        <v>0.11249999999999999</v>
      </c>
    </row>
    <row r="17" spans="1:19">
      <c r="A17" s="162">
        <f t="shared" si="0"/>
        <v>9</v>
      </c>
      <c r="B17" s="19" t="str">
        <f>VLOOKUP('Proxy Group Ticker'!$B11,vldatabase,2,FALSE)</f>
        <v>Duke Energy Corp.</v>
      </c>
      <c r="C17" s="179">
        <f>ROUND('2025 05 Market DCF'!$M$409,3)</f>
        <v>1.7000000000000001E-2</v>
      </c>
      <c r="D17" s="179">
        <f>ROUND('2025 05 Market DCF'!$V$410,3)</f>
        <v>0.10299999999999999</v>
      </c>
      <c r="E17" s="179">
        <f t="shared" si="1"/>
        <v>0.12</v>
      </c>
      <c r="F17" s="179">
        <f>ROUND('Bond Yields'!$G$14,3)</f>
        <v>4.8000000000000001E-2</v>
      </c>
      <c r="G17" s="179">
        <f t="shared" si="2"/>
        <v>7.1999999999999995E-2</v>
      </c>
      <c r="H17" s="371">
        <f>VLOOKUP('Proxy Group Ticker'!$B11,vldatabase,23,FALSE)</f>
        <v>0.65</v>
      </c>
      <c r="I17" s="179">
        <f t="shared" si="3"/>
        <v>9.4799999999999995E-2</v>
      </c>
      <c r="J17" s="376">
        <f>VLOOKUP('Proxy Group Ticker'!$B11,vldatabase,28,FALSE)</f>
        <v>90400</v>
      </c>
      <c r="K17" s="377">
        <f>IF(J17&gt;'Kroll Size Adjustment'!$B$9,'Kroll Size Adjustment'!$D$9,IF(J17&gt;'Kroll Size Adjustment'!$B$10,'Kroll Size Adjustment'!$D$10,IF(J17&gt;'Kroll Size Adjustment'!$B$11,'Kroll Size Adjustment'!$D$11,IF(J17&gt;'Kroll Size Adjustment'!$B$12,'Kroll Size Adjustment'!$D$12,IF(J17&gt;'Kroll Size Adjustment'!$B$13,'Kroll Size Adjustment'!$D$13,IF(J17&gt;'Kroll Size Adjustment'!$B$14,'Kroll Size Adjustment'!$D$14,IF(J17&gt;'Kroll Size Adjustment'!$B$15,'Kroll Size Adjustment'!$D$15,IF(J17&gt;'Kroll Size Adjustment'!$B$16,'Kroll Size Adjustment'!$D$16,"ERROR"))))))))</f>
        <v>-1E-4</v>
      </c>
      <c r="L17" s="179">
        <f t="shared" si="4"/>
        <v>9.4699999999999993E-2</v>
      </c>
      <c r="P17" s="193">
        <f t="shared" si="5"/>
        <v>9.4799999999999995E-2</v>
      </c>
      <c r="Q17" s="179"/>
      <c r="S17" s="193">
        <f t="shared" si="6"/>
        <v>9.4699999999999993E-2</v>
      </c>
    </row>
    <row r="18" spans="1:19">
      <c r="A18" s="162">
        <f t="shared" si="0"/>
        <v>10</v>
      </c>
      <c r="B18" s="19" t="str">
        <f>VLOOKUP('Proxy Group Ticker'!$B12,vldatabase,2,FALSE)</f>
        <v>Edison International</v>
      </c>
      <c r="C18" s="179">
        <f>ROUND('2025 05 Market DCF'!$M$409,3)</f>
        <v>1.7000000000000001E-2</v>
      </c>
      <c r="D18" s="179">
        <f>ROUND('2025 05 Market DCF'!$V$410,3)</f>
        <v>0.10299999999999999</v>
      </c>
      <c r="E18" s="179">
        <f t="shared" si="1"/>
        <v>0.12</v>
      </c>
      <c r="F18" s="179">
        <f>ROUND('Bond Yields'!$G$14,3)</f>
        <v>4.8000000000000001E-2</v>
      </c>
      <c r="G18" s="179">
        <f t="shared" si="2"/>
        <v>7.1999999999999995E-2</v>
      </c>
      <c r="H18" s="371">
        <f>VLOOKUP('Proxy Group Ticker'!$B12,vldatabase,23,FALSE)</f>
        <v>0.9</v>
      </c>
      <c r="I18" s="179">
        <f t="shared" si="3"/>
        <v>0.1128</v>
      </c>
      <c r="J18" s="376">
        <f>VLOOKUP('Proxy Group Ticker'!$B12,vldatabase,28,FALSE)</f>
        <v>20600</v>
      </c>
      <c r="K18" s="377">
        <f>IF(J18&gt;'Kroll Size Adjustment'!$B$9,'Kroll Size Adjustment'!$D$9,IF(J18&gt;'Kroll Size Adjustment'!$B$10,'Kroll Size Adjustment'!$D$10,IF(J18&gt;'Kroll Size Adjustment'!$B$11,'Kroll Size Adjustment'!$D$11,IF(J18&gt;'Kroll Size Adjustment'!$B$12,'Kroll Size Adjustment'!$D$12,IF(J18&gt;'Kroll Size Adjustment'!$B$13,'Kroll Size Adjustment'!$D$13,IF(J18&gt;'Kroll Size Adjustment'!$B$14,'Kroll Size Adjustment'!$D$14,IF(J18&gt;'Kroll Size Adjustment'!$B$15,'Kroll Size Adjustment'!$D$15,IF(J18&gt;'Kroll Size Adjustment'!$B$16,'Kroll Size Adjustment'!$D$16,"ERROR"))))))))</f>
        <v>3.3E-3</v>
      </c>
      <c r="L18" s="179">
        <f t="shared" si="4"/>
        <v>0.11609999999999999</v>
      </c>
      <c r="P18" s="193">
        <f t="shared" si="5"/>
        <v>0.1128</v>
      </c>
      <c r="Q18" s="179"/>
      <c r="S18" s="193">
        <f t="shared" si="6"/>
        <v>0.11609999999999999</v>
      </c>
    </row>
    <row r="19" spans="1:19">
      <c r="A19" s="162">
        <f t="shared" si="0"/>
        <v>11</v>
      </c>
      <c r="B19" s="19" t="str">
        <f>VLOOKUP('Proxy Group Ticker'!$B13,vldatabase,2,FALSE)</f>
        <v>Entergy Corp.</v>
      </c>
      <c r="C19" s="179">
        <f>ROUND('2025 05 Market DCF'!$M$409,3)</f>
        <v>1.7000000000000001E-2</v>
      </c>
      <c r="D19" s="179">
        <f>ROUND('2025 05 Market DCF'!$V$410,3)</f>
        <v>0.10299999999999999</v>
      </c>
      <c r="E19" s="179">
        <f t="shared" si="1"/>
        <v>0.12</v>
      </c>
      <c r="F19" s="179">
        <f>ROUND('Bond Yields'!$G$14,3)</f>
        <v>4.8000000000000001E-2</v>
      </c>
      <c r="G19" s="179">
        <f t="shared" si="2"/>
        <v>7.1999999999999995E-2</v>
      </c>
      <c r="H19" s="371">
        <f>VLOOKUP('Proxy Group Ticker'!$B13,vldatabase,23,FALSE)</f>
        <v>0.8</v>
      </c>
      <c r="I19" s="179">
        <f t="shared" si="3"/>
        <v>0.1056</v>
      </c>
      <c r="J19" s="376">
        <f>VLOOKUP('Proxy Group Ticker'!$B13,vldatabase,28,FALSE)</f>
        <v>32700</v>
      </c>
      <c r="K19" s="377">
        <f>IF(J19&gt;'Kroll Size Adjustment'!$B$9,'Kroll Size Adjustment'!$D$9,IF(J19&gt;'Kroll Size Adjustment'!$B$10,'Kroll Size Adjustment'!$D$10,IF(J19&gt;'Kroll Size Adjustment'!$B$11,'Kroll Size Adjustment'!$D$11,IF(J19&gt;'Kroll Size Adjustment'!$B$12,'Kroll Size Adjustment'!$D$12,IF(J19&gt;'Kroll Size Adjustment'!$B$13,'Kroll Size Adjustment'!$D$13,IF(J19&gt;'Kroll Size Adjustment'!$B$14,'Kroll Size Adjustment'!$D$14,IF(J19&gt;'Kroll Size Adjustment'!$B$15,'Kroll Size Adjustment'!$D$15,IF(J19&gt;'Kroll Size Adjustment'!$B$16,'Kroll Size Adjustment'!$D$16,"ERROR"))))))))</f>
        <v>3.3E-3</v>
      </c>
      <c r="L19" s="179">
        <f t="shared" si="4"/>
        <v>0.1089</v>
      </c>
      <c r="P19" s="193">
        <f t="shared" si="5"/>
        <v>0.1056</v>
      </c>
      <c r="Q19" s="179"/>
      <c r="S19" s="193">
        <f t="shared" si="6"/>
        <v>0.1089</v>
      </c>
    </row>
    <row r="20" spans="1:19">
      <c r="A20" s="162">
        <f t="shared" si="0"/>
        <v>12</v>
      </c>
      <c r="B20" s="19" t="str">
        <f>VLOOKUP('Proxy Group Ticker'!$B14,vldatabase,2,FALSE)</f>
        <v>Evergy Inc.</v>
      </c>
      <c r="C20" s="179">
        <f>ROUND('2025 05 Market DCF'!$M$409,3)</f>
        <v>1.7000000000000001E-2</v>
      </c>
      <c r="D20" s="179">
        <f>ROUND('2025 05 Market DCF'!$V$410,3)</f>
        <v>0.10299999999999999</v>
      </c>
      <c r="E20" s="179">
        <f t="shared" si="1"/>
        <v>0.12</v>
      </c>
      <c r="F20" s="179">
        <f>ROUND('Bond Yields'!$G$14,3)</f>
        <v>4.8000000000000001E-2</v>
      </c>
      <c r="G20" s="179">
        <f t="shared" si="2"/>
        <v>7.1999999999999995E-2</v>
      </c>
      <c r="H20" s="371">
        <f>VLOOKUP('Proxy Group Ticker'!$B14,vldatabase,23,FALSE)</f>
        <v>0.75</v>
      </c>
      <c r="I20" s="179">
        <f t="shared" si="3"/>
        <v>0.10199999999999999</v>
      </c>
      <c r="J20" s="376">
        <f>VLOOKUP('Proxy Group Ticker'!$B14,vldatabase,28,FALSE)</f>
        <v>13600</v>
      </c>
      <c r="K20" s="377">
        <f>IF(J20&gt;'Kroll Size Adjustment'!$B$9,'Kroll Size Adjustment'!$D$9,IF(J20&gt;'Kroll Size Adjustment'!$B$10,'Kroll Size Adjustment'!$D$10,IF(J20&gt;'Kroll Size Adjustment'!$B$11,'Kroll Size Adjustment'!$D$11,IF(J20&gt;'Kroll Size Adjustment'!$B$12,'Kroll Size Adjustment'!$D$12,IF(J20&gt;'Kroll Size Adjustment'!$B$13,'Kroll Size Adjustment'!$D$13,IF(J20&gt;'Kroll Size Adjustment'!$B$14,'Kroll Size Adjustment'!$D$14,IF(J20&gt;'Kroll Size Adjustment'!$B$15,'Kroll Size Adjustment'!$D$15,IF(J20&gt;'Kroll Size Adjustment'!$B$16,'Kroll Size Adjustment'!$D$16,"ERROR"))))))))</f>
        <v>4.8999999999999998E-3</v>
      </c>
      <c r="L20" s="179">
        <f t="shared" si="4"/>
        <v>0.1069</v>
      </c>
      <c r="P20" s="193">
        <f t="shared" si="5"/>
        <v>0.10199999999999999</v>
      </c>
      <c r="Q20" s="179"/>
      <c r="S20" s="193">
        <f t="shared" si="6"/>
        <v>0.1069</v>
      </c>
    </row>
    <row r="21" spans="1:19">
      <c r="A21" s="162">
        <f t="shared" si="0"/>
        <v>13</v>
      </c>
      <c r="B21" s="19" t="str">
        <f>VLOOKUP('Proxy Group Ticker'!$B15,vldatabase,2,FALSE)</f>
        <v>Eversource Energy</v>
      </c>
      <c r="C21" s="179">
        <f>ROUND('2025 05 Market DCF'!$M$409,3)</f>
        <v>1.7000000000000001E-2</v>
      </c>
      <c r="D21" s="179">
        <f>ROUND('2025 05 Market DCF'!$V$410,3)</f>
        <v>0.10299999999999999</v>
      </c>
      <c r="E21" s="179">
        <f t="shared" si="1"/>
        <v>0.12</v>
      </c>
      <c r="F21" s="179">
        <f>ROUND('Bond Yields'!$G$14,3)</f>
        <v>4.8000000000000001E-2</v>
      </c>
      <c r="G21" s="179">
        <f t="shared" si="2"/>
        <v>7.1999999999999995E-2</v>
      </c>
      <c r="H21" s="371">
        <f>VLOOKUP('Proxy Group Ticker'!$B15,vldatabase,23,FALSE)</f>
        <v>0.85</v>
      </c>
      <c r="I21" s="179">
        <f t="shared" si="3"/>
        <v>0.10919999999999999</v>
      </c>
      <c r="J21" s="376">
        <f>VLOOKUP('Proxy Group Ticker'!$B15,vldatabase,28,FALSE)</f>
        <v>23800</v>
      </c>
      <c r="K21" s="377">
        <f>IF(J21&gt;'Kroll Size Adjustment'!$B$9,'Kroll Size Adjustment'!$D$9,IF(J21&gt;'Kroll Size Adjustment'!$B$10,'Kroll Size Adjustment'!$D$10,IF(J21&gt;'Kroll Size Adjustment'!$B$11,'Kroll Size Adjustment'!$D$11,IF(J21&gt;'Kroll Size Adjustment'!$B$12,'Kroll Size Adjustment'!$D$12,IF(J21&gt;'Kroll Size Adjustment'!$B$13,'Kroll Size Adjustment'!$D$13,IF(J21&gt;'Kroll Size Adjustment'!$B$14,'Kroll Size Adjustment'!$D$14,IF(J21&gt;'Kroll Size Adjustment'!$B$15,'Kroll Size Adjustment'!$D$15,IF(J21&gt;'Kroll Size Adjustment'!$B$16,'Kroll Size Adjustment'!$D$16,"ERROR"))))))))</f>
        <v>3.3E-3</v>
      </c>
      <c r="L21" s="179">
        <f t="shared" si="4"/>
        <v>0.11249999999999999</v>
      </c>
      <c r="P21" s="193">
        <f t="shared" si="5"/>
        <v>0.10919999999999999</v>
      </c>
      <c r="Q21" s="179"/>
      <c r="S21" s="193">
        <f t="shared" si="6"/>
        <v>0.11249999999999999</v>
      </c>
    </row>
    <row r="22" spans="1:19">
      <c r="A22" s="162">
        <f t="shared" si="0"/>
        <v>14</v>
      </c>
      <c r="B22" s="19" t="str">
        <f>VLOOKUP('Proxy Group Ticker'!$B16,vldatabase,2,FALSE)</f>
        <v>FirstEnergy Corp.</v>
      </c>
      <c r="C22" s="179">
        <f>ROUND('2025 05 Market DCF'!$M$409,3)</f>
        <v>1.7000000000000001E-2</v>
      </c>
      <c r="D22" s="179">
        <f>ROUND('2025 05 Market DCF'!$V$410,3)</f>
        <v>0.10299999999999999</v>
      </c>
      <c r="E22" s="179">
        <f t="shared" si="1"/>
        <v>0.12</v>
      </c>
      <c r="F22" s="179">
        <f>ROUND('Bond Yields'!$G$14,3)</f>
        <v>4.8000000000000001E-2</v>
      </c>
      <c r="G22" s="179">
        <f t="shared" si="2"/>
        <v>7.1999999999999995E-2</v>
      </c>
      <c r="H22" s="371">
        <f>VLOOKUP('Proxy Group Ticker'!$B16,vldatabase,23,FALSE)</f>
        <v>0.75</v>
      </c>
      <c r="I22" s="179">
        <f t="shared" si="3"/>
        <v>0.10199999999999999</v>
      </c>
      <c r="J22" s="376">
        <f>VLOOKUP('Proxy Group Ticker'!$B16,vldatabase,28,FALSE)</f>
        <v>25200</v>
      </c>
      <c r="K22" s="377">
        <f>IF(J22&gt;'Kroll Size Adjustment'!$B$9,'Kroll Size Adjustment'!$D$9,IF(J22&gt;'Kroll Size Adjustment'!$B$10,'Kroll Size Adjustment'!$D$10,IF(J22&gt;'Kroll Size Adjustment'!$B$11,'Kroll Size Adjustment'!$D$11,IF(J22&gt;'Kroll Size Adjustment'!$B$12,'Kroll Size Adjustment'!$D$12,IF(J22&gt;'Kroll Size Adjustment'!$B$13,'Kroll Size Adjustment'!$D$13,IF(J22&gt;'Kroll Size Adjustment'!$B$14,'Kroll Size Adjustment'!$D$14,IF(J22&gt;'Kroll Size Adjustment'!$B$15,'Kroll Size Adjustment'!$D$15,IF(J22&gt;'Kroll Size Adjustment'!$B$16,'Kroll Size Adjustment'!$D$16,"ERROR"))))))))</f>
        <v>3.3E-3</v>
      </c>
      <c r="L22" s="179">
        <f t="shared" si="4"/>
        <v>0.10529999999999999</v>
      </c>
      <c r="P22" s="193">
        <f t="shared" si="5"/>
        <v>0.10199999999999999</v>
      </c>
      <c r="Q22" s="179"/>
      <c r="S22" s="193">
        <f t="shared" si="6"/>
        <v>0.10529999999999999</v>
      </c>
    </row>
    <row r="23" spans="1:19">
      <c r="A23" s="162">
        <f t="shared" si="0"/>
        <v>15</v>
      </c>
      <c r="B23" s="19" t="str">
        <f>VLOOKUP('Proxy Group Ticker'!$B17,vldatabase,2,FALSE)</f>
        <v>IDACORP, Inc.</v>
      </c>
      <c r="C23" s="179">
        <f>ROUND('2025 05 Market DCF'!$M$409,3)</f>
        <v>1.7000000000000001E-2</v>
      </c>
      <c r="D23" s="179">
        <f>ROUND('2025 05 Market DCF'!$V$410,3)</f>
        <v>0.10299999999999999</v>
      </c>
      <c r="E23" s="179">
        <f t="shared" si="1"/>
        <v>0.12</v>
      </c>
      <c r="F23" s="179">
        <f>ROUND('Bond Yields'!$G$14,3)</f>
        <v>4.8000000000000001E-2</v>
      </c>
      <c r="G23" s="179">
        <f t="shared" si="2"/>
        <v>7.1999999999999995E-2</v>
      </c>
      <c r="H23" s="371">
        <f>VLOOKUP('Proxy Group Ticker'!$B17,vldatabase,23,FALSE)</f>
        <v>0.7</v>
      </c>
      <c r="I23" s="179">
        <f t="shared" si="3"/>
        <v>9.8399999999999987E-2</v>
      </c>
      <c r="J23" s="376">
        <f>VLOOKUP('Proxy Group Ticker'!$B17,vldatabase,28,FALSE)</f>
        <v>6100</v>
      </c>
      <c r="K23" s="377">
        <f>IF(J23&gt;'Kroll Size Adjustment'!$B$9,'Kroll Size Adjustment'!$D$9,IF(J23&gt;'Kroll Size Adjustment'!$B$10,'Kroll Size Adjustment'!$D$10,IF(J23&gt;'Kroll Size Adjustment'!$B$11,'Kroll Size Adjustment'!$D$11,IF(J23&gt;'Kroll Size Adjustment'!$B$12,'Kroll Size Adjustment'!$D$12,IF(J23&gt;'Kroll Size Adjustment'!$B$13,'Kroll Size Adjustment'!$D$13,IF(J23&gt;'Kroll Size Adjustment'!$B$14,'Kroll Size Adjustment'!$D$14,IF(J23&gt;'Kroll Size Adjustment'!$B$15,'Kroll Size Adjustment'!$D$15,IF(J23&gt;'Kroll Size Adjustment'!$B$16,'Kroll Size Adjustment'!$D$16,"ERROR"))))))))</f>
        <v>7.4000000000000003E-3</v>
      </c>
      <c r="L23" s="179">
        <f t="shared" si="4"/>
        <v>0.10579999999999999</v>
      </c>
      <c r="P23" s="193">
        <f t="shared" si="5"/>
        <v>9.8399999999999987E-2</v>
      </c>
      <c r="Q23" s="179"/>
      <c r="S23" s="193">
        <f t="shared" si="6"/>
        <v>0.10579999999999999</v>
      </c>
    </row>
    <row r="24" spans="1:19">
      <c r="A24" s="162">
        <f t="shared" si="0"/>
        <v>16</v>
      </c>
      <c r="B24" s="19" t="str">
        <f>VLOOKUP('Proxy Group Ticker'!$B18,vldatabase,2,FALSE)</f>
        <v>NorthWestern Energy Grp.</v>
      </c>
      <c r="C24" s="179">
        <f>ROUND('2025 05 Market DCF'!$M$409,3)</f>
        <v>1.7000000000000001E-2</v>
      </c>
      <c r="D24" s="179">
        <f>ROUND('2025 05 Market DCF'!$V$410,3)</f>
        <v>0.10299999999999999</v>
      </c>
      <c r="E24" s="179">
        <f t="shared" si="1"/>
        <v>0.12</v>
      </c>
      <c r="F24" s="179">
        <f>ROUND('Bond Yields'!$G$14,3)</f>
        <v>4.8000000000000001E-2</v>
      </c>
      <c r="G24" s="179">
        <f t="shared" si="2"/>
        <v>7.1999999999999995E-2</v>
      </c>
      <c r="H24" s="371">
        <f>VLOOKUP('Proxy Group Ticker'!$B18,vldatabase,23,FALSE)</f>
        <v>0.8</v>
      </c>
      <c r="I24" s="179">
        <f t="shared" si="3"/>
        <v>0.1056</v>
      </c>
      <c r="J24" s="376">
        <f>VLOOKUP('Proxy Group Ticker'!$B18,vldatabase,28,FALSE)</f>
        <v>3400</v>
      </c>
      <c r="K24" s="377">
        <f>IF(J24&gt;'Kroll Size Adjustment'!$B$9,'Kroll Size Adjustment'!$D$9,IF(J24&gt;'Kroll Size Adjustment'!$B$10,'Kroll Size Adjustment'!$D$10,IF(J24&gt;'Kroll Size Adjustment'!$B$11,'Kroll Size Adjustment'!$D$11,IF(J24&gt;'Kroll Size Adjustment'!$B$12,'Kroll Size Adjustment'!$D$12,IF(J24&gt;'Kroll Size Adjustment'!$B$13,'Kroll Size Adjustment'!$D$13,IF(J24&gt;'Kroll Size Adjustment'!$B$14,'Kroll Size Adjustment'!$D$14,IF(J24&gt;'Kroll Size Adjustment'!$B$15,'Kroll Size Adjustment'!$D$15,IF(J24&gt;'Kroll Size Adjustment'!$B$16,'Kroll Size Adjustment'!$D$16,"ERROR"))))))))</f>
        <v>0.01</v>
      </c>
      <c r="L24" s="179">
        <f t="shared" si="4"/>
        <v>0.11559999999999999</v>
      </c>
      <c r="P24" s="193">
        <f t="shared" si="5"/>
        <v>0.1056</v>
      </c>
      <c r="Q24" s="179"/>
      <c r="S24" s="193">
        <f t="shared" si="6"/>
        <v>0.11559999999999999</v>
      </c>
    </row>
    <row r="25" spans="1:19">
      <c r="A25" s="162">
        <f t="shared" si="0"/>
        <v>17</v>
      </c>
      <c r="B25" s="19" t="str">
        <f>VLOOKUP('Proxy Group Ticker'!$B19,vldatabase,2,FALSE)</f>
        <v>Otter Tail Corp.</v>
      </c>
      <c r="C25" s="179">
        <f>ROUND('2025 05 Market DCF'!$M$409,3)</f>
        <v>1.7000000000000001E-2</v>
      </c>
      <c r="D25" s="179">
        <f>ROUND('2025 05 Market DCF'!$V$410,3)</f>
        <v>0.10299999999999999</v>
      </c>
      <c r="E25" s="179">
        <f t="shared" si="1"/>
        <v>0.12</v>
      </c>
      <c r="F25" s="179">
        <f>ROUND('Bond Yields'!$G$14,3)</f>
        <v>4.8000000000000001E-2</v>
      </c>
      <c r="G25" s="179">
        <f t="shared" si="2"/>
        <v>7.1999999999999995E-2</v>
      </c>
      <c r="H25" s="371">
        <f>VLOOKUP('Proxy Group Ticker'!$B19,vldatabase,23,FALSE)</f>
        <v>0.9</v>
      </c>
      <c r="I25" s="179">
        <f t="shared" si="3"/>
        <v>0.1128</v>
      </c>
      <c r="J25" s="376">
        <f>VLOOKUP('Proxy Group Ticker'!$B19,vldatabase,28,FALSE)</f>
        <v>3800</v>
      </c>
      <c r="K25" s="377">
        <f>IF(J25&gt;'Kroll Size Adjustment'!$B$9,'Kroll Size Adjustment'!$D$9,IF(J25&gt;'Kroll Size Adjustment'!$B$10,'Kroll Size Adjustment'!$D$10,IF(J25&gt;'Kroll Size Adjustment'!$B$11,'Kroll Size Adjustment'!$D$11,IF(J25&gt;'Kroll Size Adjustment'!$B$12,'Kroll Size Adjustment'!$D$12,IF(J25&gt;'Kroll Size Adjustment'!$B$13,'Kroll Size Adjustment'!$D$13,IF(J25&gt;'Kroll Size Adjustment'!$B$14,'Kroll Size Adjustment'!$D$14,IF(J25&gt;'Kroll Size Adjustment'!$B$15,'Kroll Size Adjustment'!$D$15,IF(J25&gt;'Kroll Size Adjustment'!$B$16,'Kroll Size Adjustment'!$D$16,"ERROR"))))))))</f>
        <v>0.01</v>
      </c>
      <c r="L25" s="179">
        <f t="shared" si="4"/>
        <v>0.12279999999999999</v>
      </c>
      <c r="P25" s="193">
        <f t="shared" si="5"/>
        <v>0.1128</v>
      </c>
      <c r="Q25" s="179"/>
      <c r="S25" s="193">
        <f t="shared" si="6"/>
        <v>0.12279999999999999</v>
      </c>
    </row>
    <row r="26" spans="1:19">
      <c r="A26" s="162">
        <f t="shared" si="0"/>
        <v>18</v>
      </c>
      <c r="B26" s="19" t="str">
        <f>VLOOKUP('Proxy Group Ticker'!$B20,vldatabase,2,FALSE)</f>
        <v>Pinnacle West Capital</v>
      </c>
      <c r="C26" s="179">
        <f>ROUND('2025 05 Market DCF'!$M$409,3)</f>
        <v>1.7000000000000001E-2</v>
      </c>
      <c r="D26" s="179">
        <f>ROUND('2025 05 Market DCF'!$V$410,3)</f>
        <v>0.10299999999999999</v>
      </c>
      <c r="E26" s="179">
        <f t="shared" si="1"/>
        <v>0.12</v>
      </c>
      <c r="F26" s="179">
        <f>ROUND('Bond Yields'!$G$14,3)</f>
        <v>4.8000000000000001E-2</v>
      </c>
      <c r="G26" s="179">
        <f t="shared" si="2"/>
        <v>7.1999999999999995E-2</v>
      </c>
      <c r="H26" s="371">
        <f>VLOOKUP('Proxy Group Ticker'!$B20,vldatabase,23,FALSE)</f>
        <v>0.8</v>
      </c>
      <c r="I26" s="179">
        <f t="shared" si="3"/>
        <v>0.1056</v>
      </c>
      <c r="J26" s="376">
        <f>VLOOKUP('Proxy Group Ticker'!$B20,vldatabase,28,FALSE)</f>
        <v>10600</v>
      </c>
      <c r="K26" s="377">
        <f>IF(J26&gt;'Kroll Size Adjustment'!$B$9,'Kroll Size Adjustment'!$D$9,IF(J26&gt;'Kroll Size Adjustment'!$B$10,'Kroll Size Adjustment'!$D$10,IF(J26&gt;'Kroll Size Adjustment'!$B$11,'Kroll Size Adjustment'!$D$11,IF(J26&gt;'Kroll Size Adjustment'!$B$12,'Kroll Size Adjustment'!$D$12,IF(J26&gt;'Kroll Size Adjustment'!$B$13,'Kroll Size Adjustment'!$D$13,IF(J26&gt;'Kroll Size Adjustment'!$B$14,'Kroll Size Adjustment'!$D$14,IF(J26&gt;'Kroll Size Adjustment'!$B$15,'Kroll Size Adjustment'!$D$15,IF(J26&gt;'Kroll Size Adjustment'!$B$16,'Kroll Size Adjustment'!$D$16,"ERROR"))))))))</f>
        <v>4.8999999999999998E-3</v>
      </c>
      <c r="L26" s="179">
        <f t="shared" si="4"/>
        <v>0.1105</v>
      </c>
      <c r="P26" s="193">
        <f t="shared" si="5"/>
        <v>0.1056</v>
      </c>
      <c r="Q26" s="179"/>
      <c r="S26" s="193">
        <f t="shared" si="6"/>
        <v>0.1105</v>
      </c>
    </row>
    <row r="27" spans="1:19">
      <c r="A27" s="162">
        <f t="shared" si="0"/>
        <v>19</v>
      </c>
      <c r="B27" s="19" t="str">
        <f>VLOOKUP('Proxy Group Ticker'!$B21,vldatabase,2,FALSE)</f>
        <v>Pub Sv Enterprise Grp.</v>
      </c>
      <c r="C27" s="179">
        <f>ROUND('2025 05 Market DCF'!$M$409,3)</f>
        <v>1.7000000000000001E-2</v>
      </c>
      <c r="D27" s="179">
        <f>ROUND('2025 05 Market DCF'!$V$410,3)</f>
        <v>0.10299999999999999</v>
      </c>
      <c r="E27" s="179">
        <f t="shared" si="1"/>
        <v>0.12</v>
      </c>
      <c r="F27" s="179">
        <f>ROUND('Bond Yields'!$G$14,3)</f>
        <v>4.8000000000000001E-2</v>
      </c>
      <c r="G27" s="179">
        <f t="shared" si="2"/>
        <v>7.1999999999999995E-2</v>
      </c>
      <c r="H27" s="371">
        <f>VLOOKUP('Proxy Group Ticker'!$B21,vldatabase,23,FALSE)</f>
        <v>0.85</v>
      </c>
      <c r="I27" s="179">
        <f t="shared" si="3"/>
        <v>0.10919999999999999</v>
      </c>
      <c r="J27" s="376">
        <f>VLOOKUP('Proxy Group Ticker'!$B21,vldatabase,28,FALSE)</f>
        <v>45000</v>
      </c>
      <c r="K27" s="377">
        <f>IF(J27&gt;'Kroll Size Adjustment'!$B$9,'Kroll Size Adjustment'!$D$9,IF(J27&gt;'Kroll Size Adjustment'!$B$10,'Kroll Size Adjustment'!$D$10,IF(J27&gt;'Kroll Size Adjustment'!$B$11,'Kroll Size Adjustment'!$D$11,IF(J27&gt;'Kroll Size Adjustment'!$B$12,'Kroll Size Adjustment'!$D$12,IF(J27&gt;'Kroll Size Adjustment'!$B$13,'Kroll Size Adjustment'!$D$13,IF(J27&gt;'Kroll Size Adjustment'!$B$14,'Kroll Size Adjustment'!$D$14,IF(J27&gt;'Kroll Size Adjustment'!$B$15,'Kroll Size Adjustment'!$D$15,IF(J27&gt;'Kroll Size Adjustment'!$B$16,'Kroll Size Adjustment'!$D$16,"ERROR"))))))))</f>
        <v>3.3E-3</v>
      </c>
      <c r="L27" s="179">
        <f t="shared" si="4"/>
        <v>0.11249999999999999</v>
      </c>
      <c r="P27" s="193">
        <f t="shared" si="5"/>
        <v>0.10919999999999999</v>
      </c>
      <c r="Q27" s="179"/>
      <c r="S27" s="193">
        <f t="shared" si="6"/>
        <v>0.11249999999999999</v>
      </c>
    </row>
    <row r="28" spans="1:19">
      <c r="A28" s="162">
        <f t="shared" si="0"/>
        <v>20</v>
      </c>
      <c r="B28" s="19" t="str">
        <f>VLOOKUP('Proxy Group Ticker'!$B22,vldatabase,2,FALSE)</f>
        <v>Sempra</v>
      </c>
      <c r="C28" s="179">
        <f>ROUND('2025 05 Market DCF'!$M$409,3)</f>
        <v>1.7000000000000001E-2</v>
      </c>
      <c r="D28" s="179">
        <f>ROUND('2025 05 Market DCF'!$V$410,3)</f>
        <v>0.10299999999999999</v>
      </c>
      <c r="E28" s="179">
        <f t="shared" si="1"/>
        <v>0.12</v>
      </c>
      <c r="F28" s="179">
        <f>ROUND('Bond Yields'!$G$14,3)</f>
        <v>4.8000000000000001E-2</v>
      </c>
      <c r="G28" s="179">
        <f t="shared" si="2"/>
        <v>7.1999999999999995E-2</v>
      </c>
      <c r="H28" s="371">
        <f>VLOOKUP('Proxy Group Ticker'!$B22,vldatabase,23,FALSE)</f>
        <v>0.9</v>
      </c>
      <c r="I28" s="179">
        <f t="shared" si="3"/>
        <v>0.1128</v>
      </c>
      <c r="J28" s="376">
        <f>VLOOKUP('Proxy Group Ticker'!$B22,vldatabase,28,FALSE)</f>
        <v>41600</v>
      </c>
      <c r="K28" s="377">
        <f>IF(J28&gt;'Kroll Size Adjustment'!$B$9,'Kroll Size Adjustment'!$D$9,IF(J28&gt;'Kroll Size Adjustment'!$B$10,'Kroll Size Adjustment'!$D$10,IF(J28&gt;'Kroll Size Adjustment'!$B$11,'Kroll Size Adjustment'!$D$11,IF(J28&gt;'Kroll Size Adjustment'!$B$12,'Kroll Size Adjustment'!$D$12,IF(J28&gt;'Kroll Size Adjustment'!$B$13,'Kroll Size Adjustment'!$D$13,IF(J28&gt;'Kroll Size Adjustment'!$B$14,'Kroll Size Adjustment'!$D$14,IF(J28&gt;'Kroll Size Adjustment'!$B$15,'Kroll Size Adjustment'!$D$15,IF(J28&gt;'Kroll Size Adjustment'!$B$16,'Kroll Size Adjustment'!$D$16,"ERROR"))))))))</f>
        <v>3.3E-3</v>
      </c>
      <c r="L28" s="179">
        <f t="shared" si="4"/>
        <v>0.11609999999999999</v>
      </c>
      <c r="P28" s="193">
        <f t="shared" si="5"/>
        <v>0.1128</v>
      </c>
      <c r="Q28" s="179"/>
      <c r="S28" s="193">
        <f t="shared" si="6"/>
        <v>0.11609999999999999</v>
      </c>
    </row>
    <row r="29" spans="1:19" ht="2.5" customHeight="1">
      <c r="A29" s="64"/>
      <c r="B29" s="19"/>
      <c r="C29" s="179"/>
      <c r="D29" s="179"/>
      <c r="E29" s="179"/>
      <c r="F29" s="179"/>
      <c r="G29" s="179"/>
      <c r="I29" s="378"/>
      <c r="J29" s="376"/>
      <c r="K29" s="377"/>
      <c r="L29" s="378"/>
      <c r="Q29" s="179"/>
      <c r="R29" s="4"/>
      <c r="S29" s="379"/>
    </row>
    <row r="30" spans="1:19">
      <c r="A30" s="64"/>
      <c r="B30" s="65" t="s">
        <v>47</v>
      </c>
      <c r="C30" s="179"/>
      <c r="D30" s="179"/>
      <c r="E30" s="179"/>
      <c r="F30" s="179"/>
      <c r="G30" s="179"/>
      <c r="I30" s="21">
        <f>AVERAGE(P9:P28)</f>
        <v>0.10541999999999999</v>
      </c>
      <c r="J30" s="376"/>
      <c r="K30" s="377"/>
      <c r="L30" s="21">
        <f>AVERAGE(S9:S28)</f>
        <v>0.10986499999999999</v>
      </c>
      <c r="Q30" s="179"/>
      <c r="R30" s="4" t="s">
        <v>244</v>
      </c>
      <c r="S30" s="316">
        <f>MIN(S9:S28)</f>
        <v>9.4699999999999993E-2</v>
      </c>
    </row>
    <row r="31" spans="1:19">
      <c r="A31" s="64"/>
      <c r="B31" s="66"/>
      <c r="C31" s="21"/>
      <c r="D31" s="21"/>
      <c r="E31" s="175"/>
      <c r="F31" s="175"/>
      <c r="G31" s="175"/>
      <c r="H31" s="380"/>
      <c r="I31" s="381"/>
      <c r="K31" s="380"/>
      <c r="L31" s="381"/>
      <c r="M31" s="112"/>
      <c r="N31" s="112"/>
      <c r="O31" s="112"/>
      <c r="P31" s="112"/>
      <c r="R31" s="1" t="s">
        <v>245</v>
      </c>
      <c r="S31" s="316">
        <f>MAX(S9:S28)</f>
        <v>0.12279999999999999</v>
      </c>
    </row>
    <row r="32" spans="1:19" s="5" customFormat="1" ht="13">
      <c r="A32" s="382" t="s">
        <v>21</v>
      </c>
      <c r="B32" s="5" t="str">
        <f>"Weighted average for dividend-paying stocks in the S&amp;P 500 based on data from "&amp;'2025 05 Market DCF'!B418</f>
        <v>Weighted average for dividend-paying stocks in the S&amp;P 500 based on data from www.valueline.com (retrieved May 8, 2025).</v>
      </c>
      <c r="C32" s="172"/>
      <c r="D32" s="172"/>
      <c r="E32" s="172"/>
      <c r="F32" s="172"/>
      <c r="G32" s="172"/>
      <c r="H32" s="172"/>
      <c r="I32" s="172"/>
      <c r="J32" s="383"/>
      <c r="K32" s="172"/>
      <c r="L32" s="172"/>
      <c r="S32" s="383"/>
    </row>
    <row r="33" spans="1:19" s="5" customFormat="1" ht="13.15" customHeight="1">
      <c r="A33" s="382" t="s">
        <v>22</v>
      </c>
      <c r="B33" s="1455" t="str">
        <f>"Average of weighted average earnings growth rates from IBES, Value Line, and Zacks for dividend-paying stocks in the S&amp;P 500 based on data from "&amp;'2025 05 Market DCF'!B419&amp;", "&amp;'2025 05 Market DCF'!B418&amp;", and "&amp;'2025 05 Market DCF'!B420&amp;".  Eliminated growth rates that were greater than 20%, as well as all negative values."</f>
        <v>Average of weighted average earnings growth rates from IBES, Value Line, and Zacks for dividend-paying stocks in the S&amp;P 500 based on data from LSEG, as provided by fidelity.com (retrieved May 8, 2025), www.valueline.com (retrieved May 8, 2025)., and www.zacks.com (retrieved May 8, 2025).  Eliminated growth rates that were greater than 20%, as well as all negative values.</v>
      </c>
      <c r="C33" s="1455"/>
      <c r="D33" s="1455"/>
      <c r="E33" s="1455"/>
      <c r="F33" s="1455"/>
      <c r="G33" s="1455"/>
      <c r="H33" s="1455"/>
      <c r="I33" s="1455"/>
      <c r="J33" s="1455"/>
      <c r="K33" s="1455"/>
      <c r="L33" s="1455"/>
      <c r="S33" s="383"/>
    </row>
    <row r="34" spans="1:19" s="5" customFormat="1" ht="13.15" customHeight="1">
      <c r="A34" s="382"/>
      <c r="B34" s="1455"/>
      <c r="C34" s="1455"/>
      <c r="D34" s="1455"/>
      <c r="E34" s="1455"/>
      <c r="F34" s="1455"/>
      <c r="G34" s="1455"/>
      <c r="H34" s="1455"/>
      <c r="I34" s="1455"/>
      <c r="J34" s="1455"/>
      <c r="K34" s="1455"/>
      <c r="L34" s="1455"/>
    </row>
    <row r="35" spans="1:19" s="5" customFormat="1" ht="13">
      <c r="A35" s="382"/>
      <c r="B35" s="1455"/>
      <c r="C35" s="1455"/>
      <c r="D35" s="1455"/>
      <c r="E35" s="1455"/>
      <c r="F35" s="1455"/>
      <c r="G35" s="1455"/>
      <c r="H35" s="1455"/>
      <c r="I35" s="1455"/>
      <c r="J35" s="1455"/>
      <c r="K35" s="1455"/>
      <c r="L35" s="1455"/>
    </row>
    <row r="36" spans="1:19" s="5" customFormat="1" ht="13">
      <c r="A36" s="384" t="s">
        <v>23</v>
      </c>
      <c r="B36" s="5" t="str">
        <f>"Average yield on 30-year Treasury bonds for six-months ending "&amp;'Bond Yields'!B12&amp;" based on data from "&amp;'Bond Yields'!B17&amp;"."</f>
        <v>Average yield on 30-year Treasury bonds for six-months ending Jun. 2025 based on data from Moody's Investors Service.</v>
      </c>
      <c r="C36" s="172"/>
      <c r="D36" s="172"/>
      <c r="E36" s="172"/>
      <c r="F36" s="172"/>
      <c r="G36" s="172"/>
      <c r="H36" s="172"/>
      <c r="I36" s="172"/>
      <c r="J36" s="383"/>
      <c r="K36" s="172"/>
      <c r="L36" s="172"/>
    </row>
    <row r="37" spans="1:19" s="5" customFormat="1" ht="13">
      <c r="A37" s="384" t="s">
        <v>24</v>
      </c>
      <c r="B37" s="5" t="str">
        <f>'Electric Utility Data'!B47</f>
        <v>The Value Line Investment Survey, Summary &amp; Index (May 23, 2025).</v>
      </c>
      <c r="C37" s="385"/>
      <c r="D37" s="385"/>
      <c r="E37" s="385"/>
      <c r="F37" s="385"/>
      <c r="G37" s="385"/>
      <c r="H37" s="385"/>
      <c r="I37" s="385"/>
      <c r="J37" s="386"/>
      <c r="K37" s="385"/>
      <c r="L37" s="385"/>
    </row>
    <row r="38" spans="1:19" s="5" customFormat="1" ht="13">
      <c r="A38" s="384" t="s">
        <v>25</v>
      </c>
      <c r="B38" s="5" t="str">
        <f>'Electric Utility Data'!B48</f>
        <v>The Value Line Investment Survey (Mar. 7, Apr. 18, and May 9, 2025).</v>
      </c>
      <c r="C38" s="385"/>
      <c r="D38" s="385"/>
      <c r="E38" s="385"/>
      <c r="F38" s="385"/>
      <c r="G38" s="385"/>
      <c r="H38" s="385"/>
      <c r="I38" s="385"/>
      <c r="J38" s="386"/>
      <c r="K38" s="385"/>
      <c r="L38" s="385"/>
    </row>
    <row r="39" spans="1:19" s="5" customFormat="1" ht="13">
      <c r="A39" s="5" t="s">
        <v>26</v>
      </c>
      <c r="B39" s="5" t="str">
        <f>'Kroll Size Adjustment'!A28</f>
        <v>Kroll, 2024 CRSP Deciles Size Premium, Cost of Capital Navigator (2025).</v>
      </c>
      <c r="C39" s="172"/>
      <c r="D39" s="172"/>
      <c r="E39" s="172"/>
      <c r="F39" s="172"/>
      <c r="G39" s="172"/>
      <c r="H39" s="387"/>
      <c r="I39" s="387"/>
      <c r="J39" s="383"/>
      <c r="K39" s="387"/>
      <c r="L39" s="172"/>
    </row>
    <row r="41" spans="1:19">
      <c r="C41" s="179"/>
      <c r="D41" s="179"/>
      <c r="G41" s="388"/>
      <c r="H41" s="1"/>
      <c r="I41" s="1"/>
    </row>
    <row r="42" spans="1:19">
      <c r="A42" s="4" t="s">
        <v>254</v>
      </c>
      <c r="B42" s="4"/>
      <c r="C42" s="389">
        <f>'5 (3)'!D36</f>
        <v>7.5399999999999995E-2</v>
      </c>
      <c r="D42" s="179"/>
      <c r="E42" s="1"/>
      <c r="G42" s="179">
        <f>MIN(L9:L28)</f>
        <v>9.4699999999999993E-2</v>
      </c>
      <c r="H42" s="1"/>
      <c r="I42" s="1"/>
    </row>
    <row r="43" spans="1:19">
      <c r="A43" s="4" t="s">
        <v>255</v>
      </c>
      <c r="B43" s="4"/>
      <c r="C43" s="390">
        <f>'5 (3)'!D37</f>
        <v>0.15989999999999999</v>
      </c>
      <c r="D43" s="179"/>
      <c r="E43" s="1"/>
      <c r="G43" s="179">
        <f>MAX(L9:L28)</f>
        <v>0.12279999999999999</v>
      </c>
      <c r="H43" s="1"/>
      <c r="I43" s="1"/>
    </row>
  </sheetData>
  <sortState xmlns:xlrd2="http://schemas.microsoft.com/office/spreadsheetml/2017/richdata2" ref="B9:AE28">
    <sortCondition descending="1" ref="L9:L28"/>
  </sortState>
  <mergeCells count="2">
    <mergeCell ref="C6:E6"/>
    <mergeCell ref="B33:L35"/>
  </mergeCells>
  <conditionalFormatting sqref="L9:L28 I9:I28">
    <cfRule type="expression" dxfId="14" priority="4">
      <formula>P9="LOW"</formula>
    </cfRule>
    <cfRule type="expression" dxfId="13" priority="5">
      <formula>P9="HIGH"</formula>
    </cfRule>
  </conditionalFormatting>
  <printOptions horizontalCentered="1"/>
  <pageMargins left="0.5" right="0.5" top="0.75" bottom="0.25" header="0.5" footer="0.5"/>
  <pageSetup scale="95"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3AC69-5CF1-4EC0-838E-0EDF4C88194E}">
  <sheetPr codeName="Sheet11">
    <pageSetUpPr fitToPage="1"/>
  </sheetPr>
  <dimension ref="A1:X44"/>
  <sheetViews>
    <sheetView view="pageBreakPreview" zoomScaleNormal="100" zoomScaleSheetLayoutView="75" workbookViewId="0"/>
  </sheetViews>
  <sheetFormatPr defaultColWidth="9.26953125" defaultRowHeight="15.5"/>
  <cols>
    <col min="1" max="1" width="3.7265625" style="162" customWidth="1"/>
    <col min="2" max="2" width="24.453125" style="4" customWidth="1"/>
    <col min="3" max="3" width="6" style="4" customWidth="1"/>
    <col min="4" max="4" width="8" style="4" bestFit="1" customWidth="1"/>
    <col min="5" max="5" width="7.26953125" style="4" bestFit="1" customWidth="1"/>
    <col min="6" max="6" width="10.1796875" style="4" bestFit="1" customWidth="1"/>
    <col min="7" max="7" width="9.26953125" style="4" customWidth="1"/>
    <col min="8" max="8" width="7.7265625" style="595" customWidth="1"/>
    <col min="9" max="9" width="6.54296875" style="596" customWidth="1"/>
    <col min="10" max="10" width="5.453125" style="596" customWidth="1"/>
    <col min="11" max="11" width="7.7265625" style="595" customWidth="1"/>
    <col min="12" max="12" width="5.54296875" style="595" customWidth="1"/>
    <col min="13" max="13" width="9.453125" style="595" customWidth="1"/>
    <col min="14" max="14" width="11.453125" style="595" bestFit="1" customWidth="1"/>
    <col min="15" max="15" width="8.6328125" style="187" bestFit="1" customWidth="1"/>
    <col min="16" max="16" width="11.54296875" style="595" bestFit="1" customWidth="1"/>
    <col min="17" max="17" width="9.1796875" style="4" bestFit="1" customWidth="1"/>
    <col min="18" max="18" width="3.7265625" style="4" customWidth="1"/>
    <col min="19" max="20" width="3.453125" style="4" customWidth="1"/>
    <col min="21" max="21" width="9.26953125" style="4"/>
    <col min="22" max="22" width="3.7265625" style="4" customWidth="1"/>
    <col min="23" max="23" width="9.26953125" style="4"/>
    <col min="24" max="24" width="7.26953125" style="187" customWidth="1"/>
    <col min="25" max="16384" width="9.26953125" style="4"/>
  </cols>
  <sheetData>
    <row r="1" spans="1:24">
      <c r="A1" s="594" t="str">
        <f>'Exhibit List'!C13</f>
        <v>ECAPM</v>
      </c>
      <c r="R1" s="188" t="str">
        <f>'Exhibit List'!B13</f>
        <v>Exhibit AMM-8</v>
      </c>
    </row>
    <row r="2" spans="1:24">
      <c r="A2" s="594"/>
      <c r="B2" s="91"/>
      <c r="R2" s="188" t="s">
        <v>121</v>
      </c>
    </row>
    <row r="3" spans="1:24">
      <c r="A3" s="597" t="str">
        <f>'Exhibit List'!D13</f>
        <v>UTILITY GROUP</v>
      </c>
    </row>
    <row r="4" spans="1:24">
      <c r="A4" s="118"/>
      <c r="R4" s="188"/>
    </row>
    <row r="5" spans="1:24">
      <c r="B5" s="180"/>
      <c r="C5" s="180" t="s">
        <v>21</v>
      </c>
      <c r="D5" s="180" t="s">
        <v>22</v>
      </c>
      <c r="E5" s="180"/>
      <c r="F5" s="180" t="s">
        <v>23</v>
      </c>
      <c r="G5" s="180"/>
      <c r="H5" s="180" t="s">
        <v>24</v>
      </c>
      <c r="I5" s="598"/>
      <c r="J5" s="180" t="s">
        <v>25</v>
      </c>
      <c r="K5" s="180" t="s">
        <v>24</v>
      </c>
      <c r="L5" s="180"/>
      <c r="M5" s="180"/>
      <c r="N5" s="180"/>
      <c r="O5" s="180" t="s">
        <v>26</v>
      </c>
      <c r="P5" s="180" t="s">
        <v>27</v>
      </c>
      <c r="Q5" s="180"/>
    </row>
    <row r="6" spans="1:24" ht="18">
      <c r="B6" s="245"/>
      <c r="C6" s="1447" t="s">
        <v>1461</v>
      </c>
      <c r="D6" s="1447"/>
      <c r="E6" s="1447"/>
      <c r="F6" s="246"/>
      <c r="G6" s="246"/>
      <c r="H6" s="599"/>
      <c r="I6" s="600"/>
      <c r="J6" s="600"/>
      <c r="K6" s="599"/>
      <c r="L6" s="599"/>
      <c r="M6" s="599"/>
      <c r="N6" s="599"/>
      <c r="O6" s="601"/>
      <c r="P6" s="599"/>
      <c r="Q6" s="246"/>
      <c r="R6" s="226"/>
    </row>
    <row r="7" spans="1:24">
      <c r="B7" s="245"/>
      <c r="C7" s="246" t="s">
        <v>290</v>
      </c>
      <c r="D7" s="246" t="s">
        <v>291</v>
      </c>
      <c r="E7" s="246" t="s">
        <v>1482</v>
      </c>
      <c r="F7" s="246" t="s">
        <v>292</v>
      </c>
      <c r="G7" s="246" t="s">
        <v>293</v>
      </c>
      <c r="H7" s="1447" t="s">
        <v>1483</v>
      </c>
      <c r="I7" s="1447"/>
      <c r="J7" s="1456" t="s">
        <v>1484</v>
      </c>
      <c r="K7" s="1456"/>
      <c r="L7" s="1456"/>
      <c r="M7" s="599"/>
      <c r="N7" s="246" t="s">
        <v>294</v>
      </c>
      <c r="O7" s="246" t="s">
        <v>74</v>
      </c>
      <c r="P7" s="246" t="s">
        <v>295</v>
      </c>
      <c r="Q7" s="246" t="s">
        <v>296</v>
      </c>
      <c r="R7" s="226"/>
    </row>
    <row r="8" spans="1:24" ht="17.649999999999999" customHeight="1">
      <c r="B8" s="189" t="s">
        <v>78</v>
      </c>
      <c r="C8" s="191" t="s">
        <v>242</v>
      </c>
      <c r="D8" s="191" t="s">
        <v>250</v>
      </c>
      <c r="E8" s="191" t="s">
        <v>278</v>
      </c>
      <c r="F8" s="191" t="s">
        <v>297</v>
      </c>
      <c r="G8" s="191" t="s">
        <v>298</v>
      </c>
      <c r="H8" s="602" t="s">
        <v>531</v>
      </c>
      <c r="I8" s="603" t="s">
        <v>1486</v>
      </c>
      <c r="J8" s="602" t="s">
        <v>67</v>
      </c>
      <c r="K8" s="602" t="s">
        <v>531</v>
      </c>
      <c r="L8" s="603" t="s">
        <v>1487</v>
      </c>
      <c r="M8" s="602" t="s">
        <v>1488</v>
      </c>
      <c r="N8" s="602" t="s">
        <v>1485</v>
      </c>
      <c r="O8" s="191" t="s">
        <v>81</v>
      </c>
      <c r="P8" s="602" t="s">
        <v>259</v>
      </c>
      <c r="Q8" s="602" t="s">
        <v>1485</v>
      </c>
      <c r="R8" s="226"/>
      <c r="X8" s="193"/>
    </row>
    <row r="9" spans="1:24">
      <c r="A9" s="162">
        <f>A8+1</f>
        <v>1</v>
      </c>
      <c r="B9" s="13" t="str">
        <f>'Proxy Group Ticker'!C3</f>
        <v>Alliant Energy</v>
      </c>
      <c r="C9" s="18">
        <f>ROUND('2025 05 Market DCF'!$M$409,3)</f>
        <v>1.7000000000000001E-2</v>
      </c>
      <c r="D9" s="18">
        <f>ROUND('2025 05 Market DCF'!$V$410,3)</f>
        <v>0.10299999999999999</v>
      </c>
      <c r="E9" s="18">
        <f t="shared" ref="E9" si="0">C9+D9</f>
        <v>0.12</v>
      </c>
      <c r="F9" s="18">
        <f>ROUND('Bond Yields'!$G$14,3)</f>
        <v>4.8000000000000001E-2</v>
      </c>
      <c r="G9" s="79">
        <f t="shared" ref="G9" si="1">E9-F9</f>
        <v>7.1999999999999995E-2</v>
      </c>
      <c r="H9" s="421">
        <v>0.25</v>
      </c>
      <c r="I9" s="79">
        <f t="shared" ref="I9" si="2">H9*G9</f>
        <v>1.7999999999999999E-2</v>
      </c>
      <c r="J9" s="604">
        <f>'7'!H9</f>
        <v>0.8</v>
      </c>
      <c r="K9" s="421">
        <v>0.75</v>
      </c>
      <c r="L9" s="79">
        <f>IF(J9="n/a","n/a",G9*J9*K9)</f>
        <v>4.3200000000000002E-2</v>
      </c>
      <c r="M9" s="79">
        <f>IF(J9="n/a","n/a",I9+L9)</f>
        <v>6.1200000000000004E-2</v>
      </c>
      <c r="N9" s="18">
        <f>IF(J9="n/a","n/a",M9+F9)</f>
        <v>0.10920000000000001</v>
      </c>
      <c r="O9" s="605">
        <f>'7'!J9</f>
        <v>16300</v>
      </c>
      <c r="P9" s="606">
        <f>IF(O9&gt;'Kroll Size Adjustment'!$B$9,'Kroll Size Adjustment'!$D$9,IF(O9&gt;'Kroll Size Adjustment'!$B$10,'Kroll Size Adjustment'!$D$10,IF(O9&gt;'Kroll Size Adjustment'!$B$11,'Kroll Size Adjustment'!$D$11,IF(O9&gt;'Kroll Size Adjustment'!$B$12,'Kroll Size Adjustment'!$D$12,IF(O9&gt;'Kroll Size Adjustment'!$B$13,'Kroll Size Adjustment'!$D$13,IF(O9&gt;'Kroll Size Adjustment'!$B$14,'Kroll Size Adjustment'!$D$14,IF(O9&gt;'Kroll Size Adjustment'!$B$15,'Kroll Size Adjustment'!$D$15,IF(O9&gt;'Kroll Size Adjustment'!$B$16,'Kroll Size Adjustment'!$D$16,"ERROR"))))))))</f>
        <v>4.8999999999999998E-3</v>
      </c>
      <c r="Q9" s="168">
        <f>IF(J9="n/a","n/a",N9+P9)</f>
        <v>0.11410000000000001</v>
      </c>
      <c r="R9" s="79"/>
      <c r="S9" s="14"/>
      <c r="T9" s="14"/>
      <c r="U9" s="193">
        <f>IF(N9="n/a","n/a",IF(N9&lt;$D$43,"LOW",IF(N9&gt;$D$44,"HIGH",N9)))</f>
        <v>0.10920000000000001</v>
      </c>
      <c r="V9" s="193"/>
      <c r="X9" s="193">
        <f>IF(Q9="n/a","n/a",IF(Q9&lt;$D$43,"LOW",IF(TRUNC(Q9,3)&gt;$D$44,"HIGH",Q9)))</f>
        <v>0.11410000000000001</v>
      </c>
    </row>
    <row r="10" spans="1:24">
      <c r="A10" s="162">
        <f t="shared" ref="A10:A28" si="3">A9+1</f>
        <v>2</v>
      </c>
      <c r="B10" s="13" t="str">
        <f>'Proxy Group Ticker'!C4</f>
        <v>American Elec Pwr</v>
      </c>
      <c r="C10" s="18">
        <f>ROUND('2025 05 Market DCF'!$M$409,3)</f>
        <v>1.7000000000000001E-2</v>
      </c>
      <c r="D10" s="18">
        <f>ROUND('2025 05 Market DCF'!$V$410,3)</f>
        <v>0.10299999999999999</v>
      </c>
      <c r="E10" s="18">
        <f t="shared" ref="E10:E28" si="4">C10+D10</f>
        <v>0.12</v>
      </c>
      <c r="F10" s="18">
        <f>ROUND('Bond Yields'!$G$14,3)</f>
        <v>4.8000000000000001E-2</v>
      </c>
      <c r="G10" s="79">
        <f t="shared" ref="G10:G28" si="5">E10-F10</f>
        <v>7.1999999999999995E-2</v>
      </c>
      <c r="H10" s="421">
        <v>0.25</v>
      </c>
      <c r="I10" s="79">
        <f t="shared" ref="I10:I28" si="6">H10*G10</f>
        <v>1.7999999999999999E-2</v>
      </c>
      <c r="J10" s="604">
        <f>'7'!H10</f>
        <v>0.7</v>
      </c>
      <c r="K10" s="421">
        <v>0.75</v>
      </c>
      <c r="L10" s="79">
        <f t="shared" ref="L10:L28" si="7">IF(J10="n/a","n/a",G10*J10*K10)</f>
        <v>3.7799999999999993E-2</v>
      </c>
      <c r="M10" s="79">
        <f t="shared" ref="M10:M28" si="8">IF(J10="n/a","n/a",I10+L10)</f>
        <v>5.5799999999999988E-2</v>
      </c>
      <c r="N10" s="18">
        <f t="shared" ref="N10:N28" si="9">IF(J10="n/a","n/a",M10+F10)</f>
        <v>0.10379999999999999</v>
      </c>
      <c r="O10" s="605">
        <f>'7'!J10</f>
        <v>52700</v>
      </c>
      <c r="P10" s="606">
        <f>IF(O10&gt;'Kroll Size Adjustment'!$B$9,'Kroll Size Adjustment'!$D$9,IF(O10&gt;'Kroll Size Adjustment'!$B$10,'Kroll Size Adjustment'!$D$10,IF(O10&gt;'Kroll Size Adjustment'!$B$11,'Kroll Size Adjustment'!$D$11,IF(O10&gt;'Kroll Size Adjustment'!$B$12,'Kroll Size Adjustment'!$D$12,IF(O10&gt;'Kroll Size Adjustment'!$B$13,'Kroll Size Adjustment'!$D$13,IF(O10&gt;'Kroll Size Adjustment'!$B$14,'Kroll Size Adjustment'!$D$14,IF(O10&gt;'Kroll Size Adjustment'!$B$15,'Kroll Size Adjustment'!$D$15,IF(O10&gt;'Kroll Size Adjustment'!$B$16,'Kroll Size Adjustment'!$D$16,"ERROR"))))))))</f>
        <v>-1E-4</v>
      </c>
      <c r="Q10" s="168">
        <f t="shared" ref="Q10:Q28" si="10">IF(J10="n/a","n/a",N10+P10)</f>
        <v>0.10369999999999999</v>
      </c>
      <c r="R10" s="79"/>
      <c r="S10" s="14"/>
      <c r="T10" s="14"/>
      <c r="U10" s="193">
        <f t="shared" ref="U10:U28" si="11">IF(N10="n/a","n/a",IF(N10&lt;$D$43,"LOW",IF(N10&gt;$D$44,"HIGH",N10)))</f>
        <v>0.10379999999999999</v>
      </c>
      <c r="V10" s="193"/>
      <c r="X10" s="193">
        <f t="shared" ref="X10:X28" si="12">IF(Q10="n/a","n/a",IF(Q10&lt;$D$43,"LOW",IF(TRUNC(Q10,3)&gt;$D$44,"HIGH",Q10)))</f>
        <v>0.10369999999999999</v>
      </c>
    </row>
    <row r="11" spans="1:24">
      <c r="A11" s="162">
        <f t="shared" si="3"/>
        <v>3</v>
      </c>
      <c r="B11" s="13" t="str">
        <f>'Proxy Group Ticker'!C5</f>
        <v>Avista Corp.</v>
      </c>
      <c r="C11" s="18">
        <f>ROUND('2025 05 Market DCF'!$M$409,3)</f>
        <v>1.7000000000000001E-2</v>
      </c>
      <c r="D11" s="18">
        <f>ROUND('2025 05 Market DCF'!$V$410,3)</f>
        <v>0.10299999999999999</v>
      </c>
      <c r="E11" s="18">
        <f t="shared" si="4"/>
        <v>0.12</v>
      </c>
      <c r="F11" s="18">
        <f>ROUND('Bond Yields'!$G$14,3)</f>
        <v>4.8000000000000001E-2</v>
      </c>
      <c r="G11" s="79">
        <f t="shared" si="5"/>
        <v>7.1999999999999995E-2</v>
      </c>
      <c r="H11" s="421">
        <v>0.25</v>
      </c>
      <c r="I11" s="79">
        <f t="shared" si="6"/>
        <v>1.7999999999999999E-2</v>
      </c>
      <c r="J11" s="604">
        <f>'7'!H11</f>
        <v>0.75</v>
      </c>
      <c r="K11" s="421">
        <v>0.75</v>
      </c>
      <c r="L11" s="79">
        <f t="shared" si="7"/>
        <v>4.0499999999999994E-2</v>
      </c>
      <c r="M11" s="79">
        <f t="shared" si="8"/>
        <v>5.8499999999999996E-2</v>
      </c>
      <c r="N11" s="18">
        <f t="shared" si="9"/>
        <v>0.1065</v>
      </c>
      <c r="O11" s="605">
        <f>'7'!J11</f>
        <v>3100</v>
      </c>
      <c r="P11" s="606">
        <f>IF(O11&gt;'Kroll Size Adjustment'!$B$9,'Kroll Size Adjustment'!$D$9,IF(O11&gt;'Kroll Size Adjustment'!$B$10,'Kroll Size Adjustment'!$D$10,IF(O11&gt;'Kroll Size Adjustment'!$B$11,'Kroll Size Adjustment'!$D$11,IF(O11&gt;'Kroll Size Adjustment'!$B$12,'Kroll Size Adjustment'!$D$12,IF(O11&gt;'Kroll Size Adjustment'!$B$13,'Kroll Size Adjustment'!$D$13,IF(O11&gt;'Kroll Size Adjustment'!$B$14,'Kroll Size Adjustment'!$D$14,IF(O11&gt;'Kroll Size Adjustment'!$B$15,'Kroll Size Adjustment'!$D$15,IF(O11&gt;'Kroll Size Adjustment'!$B$16,'Kroll Size Adjustment'!$D$16,"ERROR"))))))))</f>
        <v>0.01</v>
      </c>
      <c r="Q11" s="168">
        <f t="shared" si="10"/>
        <v>0.11649999999999999</v>
      </c>
      <c r="R11" s="79"/>
      <c r="S11" s="14"/>
      <c r="T11" s="14"/>
      <c r="U11" s="193">
        <f t="shared" si="11"/>
        <v>0.1065</v>
      </c>
      <c r="V11" s="193"/>
      <c r="X11" s="193">
        <f t="shared" si="12"/>
        <v>0.11649999999999999</v>
      </c>
    </row>
    <row r="12" spans="1:24">
      <c r="A12" s="162">
        <f t="shared" si="3"/>
        <v>4</v>
      </c>
      <c r="B12" s="13" t="str">
        <f>'Proxy Group Ticker'!C6</f>
        <v>Black Hills Corp.</v>
      </c>
      <c r="C12" s="18">
        <f>ROUND('2025 05 Market DCF'!$M$409,3)</f>
        <v>1.7000000000000001E-2</v>
      </c>
      <c r="D12" s="18">
        <f>ROUND('2025 05 Market DCF'!$V$410,3)</f>
        <v>0.10299999999999999</v>
      </c>
      <c r="E12" s="18">
        <f t="shared" si="4"/>
        <v>0.12</v>
      </c>
      <c r="F12" s="18">
        <f>ROUND('Bond Yields'!$G$14,3)</f>
        <v>4.8000000000000001E-2</v>
      </c>
      <c r="G12" s="79">
        <f t="shared" si="5"/>
        <v>7.1999999999999995E-2</v>
      </c>
      <c r="H12" s="421">
        <v>0.25</v>
      </c>
      <c r="I12" s="79">
        <f t="shared" si="6"/>
        <v>1.7999999999999999E-2</v>
      </c>
      <c r="J12" s="604">
        <f>'7'!H12</f>
        <v>0.9</v>
      </c>
      <c r="K12" s="421">
        <v>0.75</v>
      </c>
      <c r="L12" s="79">
        <f t="shared" si="7"/>
        <v>4.8599999999999997E-2</v>
      </c>
      <c r="M12" s="79">
        <f t="shared" si="8"/>
        <v>6.6599999999999993E-2</v>
      </c>
      <c r="N12" s="18">
        <f t="shared" si="9"/>
        <v>0.11459999999999999</v>
      </c>
      <c r="O12" s="605">
        <f>'7'!J12</f>
        <v>4100</v>
      </c>
      <c r="P12" s="606">
        <f>IF(O12&gt;'Kroll Size Adjustment'!$B$9,'Kroll Size Adjustment'!$D$9,IF(O12&gt;'Kroll Size Adjustment'!$B$10,'Kroll Size Adjustment'!$D$10,IF(O12&gt;'Kroll Size Adjustment'!$B$11,'Kroll Size Adjustment'!$D$11,IF(O12&gt;'Kroll Size Adjustment'!$B$12,'Kroll Size Adjustment'!$D$12,IF(O12&gt;'Kroll Size Adjustment'!$B$13,'Kroll Size Adjustment'!$D$13,IF(O12&gt;'Kroll Size Adjustment'!$B$14,'Kroll Size Adjustment'!$D$14,IF(O12&gt;'Kroll Size Adjustment'!$B$15,'Kroll Size Adjustment'!$D$15,IF(O12&gt;'Kroll Size Adjustment'!$B$16,'Kroll Size Adjustment'!$D$16,"ERROR"))))))))</f>
        <v>7.4000000000000003E-3</v>
      </c>
      <c r="Q12" s="168">
        <f t="shared" si="10"/>
        <v>0.122</v>
      </c>
      <c r="R12" s="79"/>
      <c r="S12" s="14"/>
      <c r="T12" s="14"/>
      <c r="U12" s="193">
        <f t="shared" si="11"/>
        <v>0.11459999999999999</v>
      </c>
      <c r="V12" s="193"/>
      <c r="X12" s="193">
        <f t="shared" si="12"/>
        <v>0.122</v>
      </c>
    </row>
    <row r="13" spans="1:24">
      <c r="A13" s="162">
        <f t="shared" si="3"/>
        <v>5</v>
      </c>
      <c r="B13" s="13" t="str">
        <f>'Proxy Group Ticker'!C7</f>
        <v>CenterPoint Energy</v>
      </c>
      <c r="C13" s="18">
        <f>ROUND('2025 05 Market DCF'!$M$409,3)</f>
        <v>1.7000000000000001E-2</v>
      </c>
      <c r="D13" s="18">
        <f>ROUND('2025 05 Market DCF'!$V$410,3)</f>
        <v>0.10299999999999999</v>
      </c>
      <c r="E13" s="18">
        <f t="shared" si="4"/>
        <v>0.12</v>
      </c>
      <c r="F13" s="18">
        <f>ROUND('Bond Yields'!$G$14,3)</f>
        <v>4.8000000000000001E-2</v>
      </c>
      <c r="G13" s="79">
        <f t="shared" si="5"/>
        <v>7.1999999999999995E-2</v>
      </c>
      <c r="H13" s="421">
        <v>0.25</v>
      </c>
      <c r="I13" s="79">
        <f t="shared" si="6"/>
        <v>1.7999999999999999E-2</v>
      </c>
      <c r="J13" s="604">
        <f>'7'!H13</f>
        <v>0.85</v>
      </c>
      <c r="K13" s="421">
        <v>0.75</v>
      </c>
      <c r="L13" s="79">
        <f t="shared" si="7"/>
        <v>4.5899999999999996E-2</v>
      </c>
      <c r="M13" s="79">
        <f t="shared" si="8"/>
        <v>6.3899999999999998E-2</v>
      </c>
      <c r="N13" s="18">
        <f t="shared" si="9"/>
        <v>0.1119</v>
      </c>
      <c r="O13" s="605">
        <f>'7'!J13</f>
        <v>21200</v>
      </c>
      <c r="P13" s="606">
        <f>IF(O13&gt;'Kroll Size Adjustment'!$B$9,'Kroll Size Adjustment'!$D$9,IF(O13&gt;'Kroll Size Adjustment'!$B$10,'Kroll Size Adjustment'!$D$10,IF(O13&gt;'Kroll Size Adjustment'!$B$11,'Kroll Size Adjustment'!$D$11,IF(O13&gt;'Kroll Size Adjustment'!$B$12,'Kroll Size Adjustment'!$D$12,IF(O13&gt;'Kroll Size Adjustment'!$B$13,'Kroll Size Adjustment'!$D$13,IF(O13&gt;'Kroll Size Adjustment'!$B$14,'Kroll Size Adjustment'!$D$14,IF(O13&gt;'Kroll Size Adjustment'!$B$15,'Kroll Size Adjustment'!$D$15,IF(O13&gt;'Kroll Size Adjustment'!$B$16,'Kroll Size Adjustment'!$D$16,"ERROR"))))))))</f>
        <v>3.3E-3</v>
      </c>
      <c r="Q13" s="168">
        <f t="shared" si="10"/>
        <v>0.1152</v>
      </c>
      <c r="R13" s="79"/>
      <c r="S13" s="14"/>
      <c r="T13" s="14"/>
      <c r="U13" s="193">
        <f t="shared" si="11"/>
        <v>0.1119</v>
      </c>
      <c r="V13" s="193"/>
      <c r="X13" s="193">
        <f t="shared" si="12"/>
        <v>0.1152</v>
      </c>
    </row>
    <row r="14" spans="1:24">
      <c r="A14" s="162">
        <f t="shared" si="3"/>
        <v>6</v>
      </c>
      <c r="B14" s="13" t="str">
        <f>'Proxy Group Ticker'!C8</f>
        <v>CMS Energy Corp.</v>
      </c>
      <c r="C14" s="18">
        <f>ROUND('2025 05 Market DCF'!$M$409,3)</f>
        <v>1.7000000000000001E-2</v>
      </c>
      <c r="D14" s="18">
        <f>ROUND('2025 05 Market DCF'!$V$410,3)</f>
        <v>0.10299999999999999</v>
      </c>
      <c r="E14" s="18">
        <f t="shared" si="4"/>
        <v>0.12</v>
      </c>
      <c r="F14" s="18">
        <f>ROUND('Bond Yields'!$G$14,3)</f>
        <v>4.8000000000000001E-2</v>
      </c>
      <c r="G14" s="79">
        <f t="shared" si="5"/>
        <v>7.1999999999999995E-2</v>
      </c>
      <c r="H14" s="421">
        <v>0.25</v>
      </c>
      <c r="I14" s="79">
        <f t="shared" si="6"/>
        <v>1.7999999999999999E-2</v>
      </c>
      <c r="J14" s="604">
        <f>'7'!H14</f>
        <v>0.7</v>
      </c>
      <c r="K14" s="421">
        <v>0.75</v>
      </c>
      <c r="L14" s="79">
        <f t="shared" si="7"/>
        <v>3.7799999999999993E-2</v>
      </c>
      <c r="M14" s="79">
        <f t="shared" si="8"/>
        <v>5.5799999999999988E-2</v>
      </c>
      <c r="N14" s="18">
        <f t="shared" si="9"/>
        <v>0.10379999999999999</v>
      </c>
      <c r="O14" s="605">
        <f>'7'!J14</f>
        <v>20800</v>
      </c>
      <c r="P14" s="606">
        <f>IF(O14&gt;'Kroll Size Adjustment'!$B$9,'Kroll Size Adjustment'!$D$9,IF(O14&gt;'Kroll Size Adjustment'!$B$10,'Kroll Size Adjustment'!$D$10,IF(O14&gt;'Kroll Size Adjustment'!$B$11,'Kroll Size Adjustment'!$D$11,IF(O14&gt;'Kroll Size Adjustment'!$B$12,'Kroll Size Adjustment'!$D$12,IF(O14&gt;'Kroll Size Adjustment'!$B$13,'Kroll Size Adjustment'!$D$13,IF(O14&gt;'Kroll Size Adjustment'!$B$14,'Kroll Size Adjustment'!$D$14,IF(O14&gt;'Kroll Size Adjustment'!$B$15,'Kroll Size Adjustment'!$D$15,IF(O14&gt;'Kroll Size Adjustment'!$B$16,'Kroll Size Adjustment'!$D$16,"ERROR"))))))))</f>
        <v>3.3E-3</v>
      </c>
      <c r="Q14" s="168">
        <f t="shared" si="10"/>
        <v>0.10709999999999999</v>
      </c>
      <c r="R14" s="79"/>
      <c r="S14" s="14"/>
      <c r="T14" s="14"/>
      <c r="U14" s="193">
        <f t="shared" si="11"/>
        <v>0.10379999999999999</v>
      </c>
      <c r="V14" s="193"/>
      <c r="X14" s="193">
        <f t="shared" si="12"/>
        <v>0.10709999999999999</v>
      </c>
    </row>
    <row r="15" spans="1:24">
      <c r="A15" s="162">
        <f t="shared" si="3"/>
        <v>7</v>
      </c>
      <c r="B15" s="13" t="str">
        <f>'Proxy Group Ticker'!C9</f>
        <v>Dominion Energy</v>
      </c>
      <c r="C15" s="18">
        <f>ROUND('2025 05 Market DCF'!$M$409,3)</f>
        <v>1.7000000000000001E-2</v>
      </c>
      <c r="D15" s="18">
        <f>ROUND('2025 05 Market DCF'!$V$410,3)</f>
        <v>0.10299999999999999</v>
      </c>
      <c r="E15" s="18">
        <f t="shared" si="4"/>
        <v>0.12</v>
      </c>
      <c r="F15" s="18">
        <f>ROUND('Bond Yields'!$G$14,3)</f>
        <v>4.8000000000000001E-2</v>
      </c>
      <c r="G15" s="79">
        <f t="shared" si="5"/>
        <v>7.1999999999999995E-2</v>
      </c>
      <c r="H15" s="421">
        <v>0.25</v>
      </c>
      <c r="I15" s="79">
        <f t="shared" si="6"/>
        <v>1.7999999999999999E-2</v>
      </c>
      <c r="J15" s="604">
        <f>'7'!H15</f>
        <v>0.75</v>
      </c>
      <c r="K15" s="421">
        <v>0.75</v>
      </c>
      <c r="L15" s="79">
        <f t="shared" si="7"/>
        <v>4.0499999999999994E-2</v>
      </c>
      <c r="M15" s="79">
        <f t="shared" si="8"/>
        <v>5.8499999999999996E-2</v>
      </c>
      <c r="N15" s="18">
        <f t="shared" si="9"/>
        <v>0.1065</v>
      </c>
      <c r="O15" s="605">
        <f>'7'!J15</f>
        <v>50400</v>
      </c>
      <c r="P15" s="606">
        <f>IF(O15&gt;'Kroll Size Adjustment'!$B$9,'Kroll Size Adjustment'!$D$9,IF(O15&gt;'Kroll Size Adjustment'!$B$10,'Kroll Size Adjustment'!$D$10,IF(O15&gt;'Kroll Size Adjustment'!$B$11,'Kroll Size Adjustment'!$D$11,IF(O15&gt;'Kroll Size Adjustment'!$B$12,'Kroll Size Adjustment'!$D$12,IF(O15&gt;'Kroll Size Adjustment'!$B$13,'Kroll Size Adjustment'!$D$13,IF(O15&gt;'Kroll Size Adjustment'!$B$14,'Kroll Size Adjustment'!$D$14,IF(O15&gt;'Kroll Size Adjustment'!$B$15,'Kroll Size Adjustment'!$D$15,IF(O15&gt;'Kroll Size Adjustment'!$B$16,'Kroll Size Adjustment'!$D$16,"ERROR"))))))))</f>
        <v>-1E-4</v>
      </c>
      <c r="Q15" s="168">
        <f t="shared" si="10"/>
        <v>0.10639999999999999</v>
      </c>
      <c r="R15" s="79"/>
      <c r="S15" s="14"/>
      <c r="T15" s="14"/>
      <c r="U15" s="193">
        <f t="shared" si="11"/>
        <v>0.1065</v>
      </c>
      <c r="V15" s="193"/>
      <c r="X15" s="193">
        <f t="shared" si="12"/>
        <v>0.10639999999999999</v>
      </c>
    </row>
    <row r="16" spans="1:24">
      <c r="A16" s="162">
        <f t="shared" si="3"/>
        <v>8</v>
      </c>
      <c r="B16" s="13" t="str">
        <f>'Proxy Group Ticker'!C10</f>
        <v>DTE Energy Co.</v>
      </c>
      <c r="C16" s="18">
        <f>ROUND('2025 05 Market DCF'!$M$409,3)</f>
        <v>1.7000000000000001E-2</v>
      </c>
      <c r="D16" s="18">
        <f>ROUND('2025 05 Market DCF'!$V$410,3)</f>
        <v>0.10299999999999999</v>
      </c>
      <c r="E16" s="18">
        <f t="shared" si="4"/>
        <v>0.12</v>
      </c>
      <c r="F16" s="18">
        <f>ROUND('Bond Yields'!$G$14,3)</f>
        <v>4.8000000000000001E-2</v>
      </c>
      <c r="G16" s="79">
        <f t="shared" si="5"/>
        <v>7.1999999999999995E-2</v>
      </c>
      <c r="H16" s="421">
        <v>0.25</v>
      </c>
      <c r="I16" s="79">
        <f t="shared" si="6"/>
        <v>1.7999999999999999E-2</v>
      </c>
      <c r="J16" s="604">
        <f>'7'!H16</f>
        <v>0.85</v>
      </c>
      <c r="K16" s="421">
        <v>0.75</v>
      </c>
      <c r="L16" s="79">
        <f t="shared" si="7"/>
        <v>4.5899999999999996E-2</v>
      </c>
      <c r="M16" s="79">
        <f t="shared" si="8"/>
        <v>6.3899999999999998E-2</v>
      </c>
      <c r="N16" s="18">
        <f t="shared" si="9"/>
        <v>0.1119</v>
      </c>
      <c r="O16" s="605">
        <f>'7'!J16</f>
        <v>25800</v>
      </c>
      <c r="P16" s="606">
        <f>IF(O16&gt;'Kroll Size Adjustment'!$B$9,'Kroll Size Adjustment'!$D$9,IF(O16&gt;'Kroll Size Adjustment'!$B$10,'Kroll Size Adjustment'!$D$10,IF(O16&gt;'Kroll Size Adjustment'!$B$11,'Kroll Size Adjustment'!$D$11,IF(O16&gt;'Kroll Size Adjustment'!$B$12,'Kroll Size Adjustment'!$D$12,IF(O16&gt;'Kroll Size Adjustment'!$B$13,'Kroll Size Adjustment'!$D$13,IF(O16&gt;'Kroll Size Adjustment'!$B$14,'Kroll Size Adjustment'!$D$14,IF(O16&gt;'Kroll Size Adjustment'!$B$15,'Kroll Size Adjustment'!$D$15,IF(O16&gt;'Kroll Size Adjustment'!$B$16,'Kroll Size Adjustment'!$D$16,"ERROR"))))))))</f>
        <v>3.3E-3</v>
      </c>
      <c r="Q16" s="168">
        <f t="shared" si="10"/>
        <v>0.1152</v>
      </c>
      <c r="R16" s="79"/>
      <c r="S16" s="14"/>
      <c r="T16" s="14"/>
      <c r="U16" s="193">
        <f t="shared" si="11"/>
        <v>0.1119</v>
      </c>
      <c r="V16" s="193"/>
      <c r="X16" s="193">
        <f t="shared" si="12"/>
        <v>0.1152</v>
      </c>
    </row>
    <row r="17" spans="1:24">
      <c r="A17" s="162">
        <f t="shared" si="3"/>
        <v>9</v>
      </c>
      <c r="B17" s="13" t="str">
        <f>'Proxy Group Ticker'!C11</f>
        <v>Duke Energy Corp.</v>
      </c>
      <c r="C17" s="18">
        <f>ROUND('2025 05 Market DCF'!$M$409,3)</f>
        <v>1.7000000000000001E-2</v>
      </c>
      <c r="D17" s="18">
        <f>ROUND('2025 05 Market DCF'!$V$410,3)</f>
        <v>0.10299999999999999</v>
      </c>
      <c r="E17" s="18">
        <f t="shared" si="4"/>
        <v>0.12</v>
      </c>
      <c r="F17" s="18">
        <f>ROUND('Bond Yields'!$G$14,3)</f>
        <v>4.8000000000000001E-2</v>
      </c>
      <c r="G17" s="79">
        <f t="shared" si="5"/>
        <v>7.1999999999999995E-2</v>
      </c>
      <c r="H17" s="421">
        <v>0.25</v>
      </c>
      <c r="I17" s="79">
        <f t="shared" si="6"/>
        <v>1.7999999999999999E-2</v>
      </c>
      <c r="J17" s="604">
        <f>'7'!H17</f>
        <v>0.65</v>
      </c>
      <c r="K17" s="421">
        <v>0.75</v>
      </c>
      <c r="L17" s="79">
        <f t="shared" si="7"/>
        <v>3.5099999999999999E-2</v>
      </c>
      <c r="M17" s="79">
        <f t="shared" si="8"/>
        <v>5.3099999999999994E-2</v>
      </c>
      <c r="N17" s="18">
        <f t="shared" si="9"/>
        <v>0.1011</v>
      </c>
      <c r="O17" s="605">
        <f>'7'!J17</f>
        <v>90400</v>
      </c>
      <c r="P17" s="606">
        <f>IF(O17&gt;'Kroll Size Adjustment'!$B$9,'Kroll Size Adjustment'!$D$9,IF(O17&gt;'Kroll Size Adjustment'!$B$10,'Kroll Size Adjustment'!$D$10,IF(O17&gt;'Kroll Size Adjustment'!$B$11,'Kroll Size Adjustment'!$D$11,IF(O17&gt;'Kroll Size Adjustment'!$B$12,'Kroll Size Adjustment'!$D$12,IF(O17&gt;'Kroll Size Adjustment'!$B$13,'Kroll Size Adjustment'!$D$13,IF(O17&gt;'Kroll Size Adjustment'!$B$14,'Kroll Size Adjustment'!$D$14,IF(O17&gt;'Kroll Size Adjustment'!$B$15,'Kroll Size Adjustment'!$D$15,IF(O17&gt;'Kroll Size Adjustment'!$B$16,'Kroll Size Adjustment'!$D$16,"ERROR"))))))))</f>
        <v>-1E-4</v>
      </c>
      <c r="Q17" s="168">
        <f t="shared" si="10"/>
        <v>0.10099999999999999</v>
      </c>
      <c r="R17" s="79"/>
      <c r="S17" s="14"/>
      <c r="T17" s="14"/>
      <c r="U17" s="193">
        <f t="shared" si="11"/>
        <v>0.1011</v>
      </c>
      <c r="V17" s="193"/>
      <c r="X17" s="193">
        <f t="shared" si="12"/>
        <v>0.10099999999999999</v>
      </c>
    </row>
    <row r="18" spans="1:24">
      <c r="A18" s="162">
        <f t="shared" si="3"/>
        <v>10</v>
      </c>
      <c r="B18" s="13" t="str">
        <f>'Proxy Group Ticker'!C12</f>
        <v>Edison International</v>
      </c>
      <c r="C18" s="18">
        <f>ROUND('2025 05 Market DCF'!$M$409,3)</f>
        <v>1.7000000000000001E-2</v>
      </c>
      <c r="D18" s="18">
        <f>ROUND('2025 05 Market DCF'!$V$410,3)</f>
        <v>0.10299999999999999</v>
      </c>
      <c r="E18" s="18">
        <f t="shared" si="4"/>
        <v>0.12</v>
      </c>
      <c r="F18" s="18">
        <f>ROUND('Bond Yields'!$G$14,3)</f>
        <v>4.8000000000000001E-2</v>
      </c>
      <c r="G18" s="79">
        <f t="shared" si="5"/>
        <v>7.1999999999999995E-2</v>
      </c>
      <c r="H18" s="421">
        <v>0.25</v>
      </c>
      <c r="I18" s="79">
        <f t="shared" si="6"/>
        <v>1.7999999999999999E-2</v>
      </c>
      <c r="J18" s="604">
        <f>'7'!H18</f>
        <v>0.9</v>
      </c>
      <c r="K18" s="421">
        <v>0.75</v>
      </c>
      <c r="L18" s="79">
        <f t="shared" si="7"/>
        <v>4.8599999999999997E-2</v>
      </c>
      <c r="M18" s="79">
        <f t="shared" si="8"/>
        <v>6.6599999999999993E-2</v>
      </c>
      <c r="N18" s="18">
        <f t="shared" si="9"/>
        <v>0.11459999999999999</v>
      </c>
      <c r="O18" s="605">
        <f>'7'!J18</f>
        <v>20600</v>
      </c>
      <c r="P18" s="606">
        <f>IF(O18&gt;'Kroll Size Adjustment'!$B$9,'Kroll Size Adjustment'!$D$9,IF(O18&gt;'Kroll Size Adjustment'!$B$10,'Kroll Size Adjustment'!$D$10,IF(O18&gt;'Kroll Size Adjustment'!$B$11,'Kroll Size Adjustment'!$D$11,IF(O18&gt;'Kroll Size Adjustment'!$B$12,'Kroll Size Adjustment'!$D$12,IF(O18&gt;'Kroll Size Adjustment'!$B$13,'Kroll Size Adjustment'!$D$13,IF(O18&gt;'Kroll Size Adjustment'!$B$14,'Kroll Size Adjustment'!$D$14,IF(O18&gt;'Kroll Size Adjustment'!$B$15,'Kroll Size Adjustment'!$D$15,IF(O18&gt;'Kroll Size Adjustment'!$B$16,'Kroll Size Adjustment'!$D$16,"ERROR"))))))))</f>
        <v>3.3E-3</v>
      </c>
      <c r="Q18" s="168">
        <f t="shared" si="10"/>
        <v>0.11789999999999999</v>
      </c>
      <c r="R18" s="79"/>
      <c r="S18" s="14"/>
      <c r="T18" s="14"/>
      <c r="U18" s="193">
        <f t="shared" si="11"/>
        <v>0.11459999999999999</v>
      </c>
      <c r="V18" s="193"/>
      <c r="X18" s="193">
        <f t="shared" si="12"/>
        <v>0.11789999999999999</v>
      </c>
    </row>
    <row r="19" spans="1:24">
      <c r="A19" s="162">
        <f t="shared" si="3"/>
        <v>11</v>
      </c>
      <c r="B19" s="13" t="str">
        <f>'Proxy Group Ticker'!C13</f>
        <v>Entergy Corp.</v>
      </c>
      <c r="C19" s="18">
        <f>ROUND('2025 05 Market DCF'!$M$409,3)</f>
        <v>1.7000000000000001E-2</v>
      </c>
      <c r="D19" s="18">
        <f>ROUND('2025 05 Market DCF'!$V$410,3)</f>
        <v>0.10299999999999999</v>
      </c>
      <c r="E19" s="18">
        <f t="shared" si="4"/>
        <v>0.12</v>
      </c>
      <c r="F19" s="18">
        <f>ROUND('Bond Yields'!$G$14,3)</f>
        <v>4.8000000000000001E-2</v>
      </c>
      <c r="G19" s="79">
        <f t="shared" si="5"/>
        <v>7.1999999999999995E-2</v>
      </c>
      <c r="H19" s="421">
        <v>0.25</v>
      </c>
      <c r="I19" s="79">
        <f t="shared" si="6"/>
        <v>1.7999999999999999E-2</v>
      </c>
      <c r="J19" s="604">
        <f>'7'!H19</f>
        <v>0.8</v>
      </c>
      <c r="K19" s="421">
        <v>0.75</v>
      </c>
      <c r="L19" s="79">
        <f t="shared" si="7"/>
        <v>4.3200000000000002E-2</v>
      </c>
      <c r="M19" s="79">
        <f t="shared" si="8"/>
        <v>6.1200000000000004E-2</v>
      </c>
      <c r="N19" s="18">
        <f t="shared" si="9"/>
        <v>0.10920000000000001</v>
      </c>
      <c r="O19" s="605">
        <f>'7'!J19</f>
        <v>32700</v>
      </c>
      <c r="P19" s="606">
        <f>IF(O19&gt;'Kroll Size Adjustment'!$B$9,'Kroll Size Adjustment'!$D$9,IF(O19&gt;'Kroll Size Adjustment'!$B$10,'Kroll Size Adjustment'!$D$10,IF(O19&gt;'Kroll Size Adjustment'!$B$11,'Kroll Size Adjustment'!$D$11,IF(O19&gt;'Kroll Size Adjustment'!$B$12,'Kroll Size Adjustment'!$D$12,IF(O19&gt;'Kroll Size Adjustment'!$B$13,'Kroll Size Adjustment'!$D$13,IF(O19&gt;'Kroll Size Adjustment'!$B$14,'Kroll Size Adjustment'!$D$14,IF(O19&gt;'Kroll Size Adjustment'!$B$15,'Kroll Size Adjustment'!$D$15,IF(O19&gt;'Kroll Size Adjustment'!$B$16,'Kroll Size Adjustment'!$D$16,"ERROR"))))))))</f>
        <v>3.3E-3</v>
      </c>
      <c r="Q19" s="168">
        <f t="shared" si="10"/>
        <v>0.1125</v>
      </c>
      <c r="R19" s="79"/>
      <c r="S19" s="14"/>
      <c r="T19" s="14"/>
      <c r="U19" s="193">
        <f t="shared" si="11"/>
        <v>0.10920000000000001</v>
      </c>
      <c r="V19" s="193"/>
      <c r="X19" s="193">
        <f t="shared" si="12"/>
        <v>0.1125</v>
      </c>
    </row>
    <row r="20" spans="1:24">
      <c r="A20" s="162">
        <f t="shared" si="3"/>
        <v>12</v>
      </c>
      <c r="B20" s="13" t="str">
        <f>'Proxy Group Ticker'!C14</f>
        <v>Evergy Inc.</v>
      </c>
      <c r="C20" s="18">
        <f>ROUND('2025 05 Market DCF'!$M$409,3)</f>
        <v>1.7000000000000001E-2</v>
      </c>
      <c r="D20" s="18">
        <f>ROUND('2025 05 Market DCF'!$V$410,3)</f>
        <v>0.10299999999999999</v>
      </c>
      <c r="E20" s="18">
        <f t="shared" si="4"/>
        <v>0.12</v>
      </c>
      <c r="F20" s="18">
        <f>ROUND('Bond Yields'!$G$14,3)</f>
        <v>4.8000000000000001E-2</v>
      </c>
      <c r="G20" s="79">
        <f t="shared" si="5"/>
        <v>7.1999999999999995E-2</v>
      </c>
      <c r="H20" s="421">
        <v>0.25</v>
      </c>
      <c r="I20" s="79">
        <f t="shared" si="6"/>
        <v>1.7999999999999999E-2</v>
      </c>
      <c r="J20" s="604">
        <f>'7'!H20</f>
        <v>0.75</v>
      </c>
      <c r="K20" s="421">
        <v>0.75</v>
      </c>
      <c r="L20" s="79">
        <f t="shared" si="7"/>
        <v>4.0499999999999994E-2</v>
      </c>
      <c r="M20" s="79">
        <f t="shared" si="8"/>
        <v>5.8499999999999996E-2</v>
      </c>
      <c r="N20" s="18">
        <f t="shared" si="9"/>
        <v>0.1065</v>
      </c>
      <c r="O20" s="605">
        <f>'7'!J20</f>
        <v>13600</v>
      </c>
      <c r="P20" s="606">
        <f>IF(O20&gt;'Kroll Size Adjustment'!$B$9,'Kroll Size Adjustment'!$D$9,IF(O20&gt;'Kroll Size Adjustment'!$B$10,'Kroll Size Adjustment'!$D$10,IF(O20&gt;'Kroll Size Adjustment'!$B$11,'Kroll Size Adjustment'!$D$11,IF(O20&gt;'Kroll Size Adjustment'!$B$12,'Kroll Size Adjustment'!$D$12,IF(O20&gt;'Kroll Size Adjustment'!$B$13,'Kroll Size Adjustment'!$D$13,IF(O20&gt;'Kroll Size Adjustment'!$B$14,'Kroll Size Adjustment'!$D$14,IF(O20&gt;'Kroll Size Adjustment'!$B$15,'Kroll Size Adjustment'!$D$15,IF(O20&gt;'Kroll Size Adjustment'!$B$16,'Kroll Size Adjustment'!$D$16,"ERROR"))))))))</f>
        <v>4.8999999999999998E-3</v>
      </c>
      <c r="Q20" s="168">
        <f t="shared" si="10"/>
        <v>0.1114</v>
      </c>
      <c r="R20" s="79"/>
      <c r="S20" s="14"/>
      <c r="T20" s="14"/>
      <c r="U20" s="193">
        <f t="shared" si="11"/>
        <v>0.1065</v>
      </c>
      <c r="V20" s="193"/>
      <c r="X20" s="193">
        <f t="shared" si="12"/>
        <v>0.1114</v>
      </c>
    </row>
    <row r="21" spans="1:24">
      <c r="A21" s="162">
        <f t="shared" si="3"/>
        <v>13</v>
      </c>
      <c r="B21" s="13" t="str">
        <f>'Proxy Group Ticker'!C15</f>
        <v>Eversource Energy</v>
      </c>
      <c r="C21" s="18">
        <f>ROUND('2025 05 Market DCF'!$M$409,3)</f>
        <v>1.7000000000000001E-2</v>
      </c>
      <c r="D21" s="18">
        <f>ROUND('2025 05 Market DCF'!$V$410,3)</f>
        <v>0.10299999999999999</v>
      </c>
      <c r="E21" s="18">
        <f t="shared" si="4"/>
        <v>0.12</v>
      </c>
      <c r="F21" s="18">
        <f>ROUND('Bond Yields'!$G$14,3)</f>
        <v>4.8000000000000001E-2</v>
      </c>
      <c r="G21" s="79">
        <f t="shared" si="5"/>
        <v>7.1999999999999995E-2</v>
      </c>
      <c r="H21" s="421">
        <v>0.25</v>
      </c>
      <c r="I21" s="79">
        <f t="shared" si="6"/>
        <v>1.7999999999999999E-2</v>
      </c>
      <c r="J21" s="604">
        <f>'7'!H21</f>
        <v>0.85</v>
      </c>
      <c r="K21" s="421">
        <v>0.75</v>
      </c>
      <c r="L21" s="79">
        <f t="shared" si="7"/>
        <v>4.5899999999999996E-2</v>
      </c>
      <c r="M21" s="79">
        <f t="shared" si="8"/>
        <v>6.3899999999999998E-2</v>
      </c>
      <c r="N21" s="18">
        <f t="shared" si="9"/>
        <v>0.1119</v>
      </c>
      <c r="O21" s="605">
        <f>'7'!J21</f>
        <v>23800</v>
      </c>
      <c r="P21" s="606">
        <f>IF(O21&gt;'Kroll Size Adjustment'!$B$9,'Kroll Size Adjustment'!$D$9,IF(O21&gt;'Kroll Size Adjustment'!$B$10,'Kroll Size Adjustment'!$D$10,IF(O21&gt;'Kroll Size Adjustment'!$B$11,'Kroll Size Adjustment'!$D$11,IF(O21&gt;'Kroll Size Adjustment'!$B$12,'Kroll Size Adjustment'!$D$12,IF(O21&gt;'Kroll Size Adjustment'!$B$13,'Kroll Size Adjustment'!$D$13,IF(O21&gt;'Kroll Size Adjustment'!$B$14,'Kroll Size Adjustment'!$D$14,IF(O21&gt;'Kroll Size Adjustment'!$B$15,'Kroll Size Adjustment'!$D$15,IF(O21&gt;'Kroll Size Adjustment'!$B$16,'Kroll Size Adjustment'!$D$16,"ERROR"))))))))</f>
        <v>3.3E-3</v>
      </c>
      <c r="Q21" s="168">
        <f t="shared" si="10"/>
        <v>0.1152</v>
      </c>
      <c r="R21" s="79"/>
      <c r="S21" s="14"/>
      <c r="T21" s="14"/>
      <c r="U21" s="193">
        <f t="shared" si="11"/>
        <v>0.1119</v>
      </c>
      <c r="V21" s="193"/>
      <c r="X21" s="193">
        <f t="shared" si="12"/>
        <v>0.1152</v>
      </c>
    </row>
    <row r="22" spans="1:24">
      <c r="A22" s="162">
        <f t="shared" si="3"/>
        <v>14</v>
      </c>
      <c r="B22" s="13" t="str">
        <f>'Proxy Group Ticker'!C16</f>
        <v>FirstEnergy Corp.</v>
      </c>
      <c r="C22" s="18">
        <f>ROUND('2025 05 Market DCF'!$M$409,3)</f>
        <v>1.7000000000000001E-2</v>
      </c>
      <c r="D22" s="18">
        <f>ROUND('2025 05 Market DCF'!$V$410,3)</f>
        <v>0.10299999999999999</v>
      </c>
      <c r="E22" s="18">
        <f t="shared" si="4"/>
        <v>0.12</v>
      </c>
      <c r="F22" s="18">
        <f>ROUND('Bond Yields'!$G$14,3)</f>
        <v>4.8000000000000001E-2</v>
      </c>
      <c r="G22" s="79">
        <f t="shared" si="5"/>
        <v>7.1999999999999995E-2</v>
      </c>
      <c r="H22" s="421">
        <v>0.25</v>
      </c>
      <c r="I22" s="79">
        <f t="shared" si="6"/>
        <v>1.7999999999999999E-2</v>
      </c>
      <c r="J22" s="604">
        <f>'7'!H22</f>
        <v>0.75</v>
      </c>
      <c r="K22" s="421">
        <v>0.75</v>
      </c>
      <c r="L22" s="79">
        <f t="shared" si="7"/>
        <v>4.0499999999999994E-2</v>
      </c>
      <c r="M22" s="79">
        <f t="shared" si="8"/>
        <v>5.8499999999999996E-2</v>
      </c>
      <c r="N22" s="18">
        <f t="shared" si="9"/>
        <v>0.1065</v>
      </c>
      <c r="O22" s="605">
        <f>'7'!J22</f>
        <v>25200</v>
      </c>
      <c r="P22" s="606">
        <f>IF(O22&gt;'Kroll Size Adjustment'!$B$9,'Kroll Size Adjustment'!$D$9,IF(O22&gt;'Kroll Size Adjustment'!$B$10,'Kroll Size Adjustment'!$D$10,IF(O22&gt;'Kroll Size Adjustment'!$B$11,'Kroll Size Adjustment'!$D$11,IF(O22&gt;'Kroll Size Adjustment'!$B$12,'Kroll Size Adjustment'!$D$12,IF(O22&gt;'Kroll Size Adjustment'!$B$13,'Kroll Size Adjustment'!$D$13,IF(O22&gt;'Kroll Size Adjustment'!$B$14,'Kroll Size Adjustment'!$D$14,IF(O22&gt;'Kroll Size Adjustment'!$B$15,'Kroll Size Adjustment'!$D$15,IF(O22&gt;'Kroll Size Adjustment'!$B$16,'Kroll Size Adjustment'!$D$16,"ERROR"))))))))</f>
        <v>3.3E-3</v>
      </c>
      <c r="Q22" s="168">
        <f t="shared" si="10"/>
        <v>0.10979999999999999</v>
      </c>
      <c r="R22" s="79"/>
      <c r="S22" s="14"/>
      <c r="T22" s="14"/>
      <c r="U22" s="193">
        <f t="shared" si="11"/>
        <v>0.1065</v>
      </c>
      <c r="V22" s="193"/>
      <c r="X22" s="193">
        <f t="shared" si="12"/>
        <v>0.10979999999999999</v>
      </c>
    </row>
    <row r="23" spans="1:24">
      <c r="A23" s="162">
        <f t="shared" si="3"/>
        <v>15</v>
      </c>
      <c r="B23" s="13" t="str">
        <f>'Proxy Group Ticker'!C17</f>
        <v>IDACORP, Inc.</v>
      </c>
      <c r="C23" s="18">
        <f>ROUND('2025 05 Market DCF'!$M$409,3)</f>
        <v>1.7000000000000001E-2</v>
      </c>
      <c r="D23" s="18">
        <f>ROUND('2025 05 Market DCF'!$V$410,3)</f>
        <v>0.10299999999999999</v>
      </c>
      <c r="E23" s="18">
        <f t="shared" si="4"/>
        <v>0.12</v>
      </c>
      <c r="F23" s="18">
        <f>ROUND('Bond Yields'!$G$14,3)</f>
        <v>4.8000000000000001E-2</v>
      </c>
      <c r="G23" s="79">
        <f t="shared" si="5"/>
        <v>7.1999999999999995E-2</v>
      </c>
      <c r="H23" s="421">
        <v>0.25</v>
      </c>
      <c r="I23" s="79">
        <f t="shared" si="6"/>
        <v>1.7999999999999999E-2</v>
      </c>
      <c r="J23" s="604">
        <f>'7'!H23</f>
        <v>0.7</v>
      </c>
      <c r="K23" s="421">
        <v>0.75</v>
      </c>
      <c r="L23" s="79">
        <f t="shared" si="7"/>
        <v>3.7799999999999993E-2</v>
      </c>
      <c r="M23" s="79">
        <f t="shared" si="8"/>
        <v>5.5799999999999988E-2</v>
      </c>
      <c r="N23" s="18">
        <f t="shared" si="9"/>
        <v>0.10379999999999999</v>
      </c>
      <c r="O23" s="605">
        <f>'7'!J23</f>
        <v>6100</v>
      </c>
      <c r="P23" s="606">
        <f>IF(O23&gt;'Kroll Size Adjustment'!$B$9,'Kroll Size Adjustment'!$D$9,IF(O23&gt;'Kroll Size Adjustment'!$B$10,'Kroll Size Adjustment'!$D$10,IF(O23&gt;'Kroll Size Adjustment'!$B$11,'Kroll Size Adjustment'!$D$11,IF(O23&gt;'Kroll Size Adjustment'!$B$12,'Kroll Size Adjustment'!$D$12,IF(O23&gt;'Kroll Size Adjustment'!$B$13,'Kroll Size Adjustment'!$D$13,IF(O23&gt;'Kroll Size Adjustment'!$B$14,'Kroll Size Adjustment'!$D$14,IF(O23&gt;'Kroll Size Adjustment'!$B$15,'Kroll Size Adjustment'!$D$15,IF(O23&gt;'Kroll Size Adjustment'!$B$16,'Kroll Size Adjustment'!$D$16,"ERROR"))))))))</f>
        <v>7.4000000000000003E-3</v>
      </c>
      <c r="Q23" s="168">
        <f t="shared" si="10"/>
        <v>0.11119999999999999</v>
      </c>
      <c r="R23" s="79"/>
      <c r="S23" s="14"/>
      <c r="T23" s="14"/>
      <c r="U23" s="193">
        <f t="shared" si="11"/>
        <v>0.10379999999999999</v>
      </c>
      <c r="V23" s="193"/>
      <c r="X23" s="193">
        <f t="shared" si="12"/>
        <v>0.11119999999999999</v>
      </c>
    </row>
    <row r="24" spans="1:24">
      <c r="A24" s="162">
        <f t="shared" si="3"/>
        <v>16</v>
      </c>
      <c r="B24" s="13" t="str">
        <f>'Proxy Group Ticker'!C18</f>
        <v>NorthWestern Energy Grp.</v>
      </c>
      <c r="C24" s="18">
        <f>ROUND('2025 05 Market DCF'!$M$409,3)</f>
        <v>1.7000000000000001E-2</v>
      </c>
      <c r="D24" s="18">
        <f>ROUND('2025 05 Market DCF'!$V$410,3)</f>
        <v>0.10299999999999999</v>
      </c>
      <c r="E24" s="18">
        <f t="shared" si="4"/>
        <v>0.12</v>
      </c>
      <c r="F24" s="18">
        <f>ROUND('Bond Yields'!$G$14,3)</f>
        <v>4.8000000000000001E-2</v>
      </c>
      <c r="G24" s="79">
        <f t="shared" si="5"/>
        <v>7.1999999999999995E-2</v>
      </c>
      <c r="H24" s="421">
        <v>0.25</v>
      </c>
      <c r="I24" s="79">
        <f t="shared" si="6"/>
        <v>1.7999999999999999E-2</v>
      </c>
      <c r="J24" s="604">
        <f>'7'!H24</f>
        <v>0.8</v>
      </c>
      <c r="K24" s="421">
        <v>0.75</v>
      </c>
      <c r="L24" s="79">
        <f t="shared" si="7"/>
        <v>4.3200000000000002E-2</v>
      </c>
      <c r="M24" s="79">
        <f t="shared" si="8"/>
        <v>6.1200000000000004E-2</v>
      </c>
      <c r="N24" s="18">
        <f t="shared" si="9"/>
        <v>0.10920000000000001</v>
      </c>
      <c r="O24" s="605">
        <f>'7'!J24</f>
        <v>3400</v>
      </c>
      <c r="P24" s="606">
        <f>IF(O24&gt;'Kroll Size Adjustment'!$B$9,'Kroll Size Adjustment'!$D$9,IF(O24&gt;'Kroll Size Adjustment'!$B$10,'Kroll Size Adjustment'!$D$10,IF(O24&gt;'Kroll Size Adjustment'!$B$11,'Kroll Size Adjustment'!$D$11,IF(O24&gt;'Kroll Size Adjustment'!$B$12,'Kroll Size Adjustment'!$D$12,IF(O24&gt;'Kroll Size Adjustment'!$B$13,'Kroll Size Adjustment'!$D$13,IF(O24&gt;'Kroll Size Adjustment'!$B$14,'Kroll Size Adjustment'!$D$14,IF(O24&gt;'Kroll Size Adjustment'!$B$15,'Kroll Size Adjustment'!$D$15,IF(O24&gt;'Kroll Size Adjustment'!$B$16,'Kroll Size Adjustment'!$D$16,"ERROR"))))))))</f>
        <v>0.01</v>
      </c>
      <c r="Q24" s="168">
        <f t="shared" si="10"/>
        <v>0.1192</v>
      </c>
      <c r="R24" s="79"/>
      <c r="S24" s="14"/>
      <c r="T24" s="14"/>
      <c r="U24" s="193">
        <f t="shared" si="11"/>
        <v>0.10920000000000001</v>
      </c>
      <c r="V24" s="193"/>
      <c r="X24" s="193">
        <f t="shared" si="12"/>
        <v>0.1192</v>
      </c>
    </row>
    <row r="25" spans="1:24">
      <c r="A25" s="162">
        <f t="shared" si="3"/>
        <v>17</v>
      </c>
      <c r="B25" s="13" t="str">
        <f>'Proxy Group Ticker'!C19</f>
        <v>Otter Tail Corp.</v>
      </c>
      <c r="C25" s="18">
        <f>ROUND('2025 05 Market DCF'!$M$409,3)</f>
        <v>1.7000000000000001E-2</v>
      </c>
      <c r="D25" s="18">
        <f>ROUND('2025 05 Market DCF'!$V$410,3)</f>
        <v>0.10299999999999999</v>
      </c>
      <c r="E25" s="18">
        <f t="shared" si="4"/>
        <v>0.12</v>
      </c>
      <c r="F25" s="18">
        <f>ROUND('Bond Yields'!$G$14,3)</f>
        <v>4.8000000000000001E-2</v>
      </c>
      <c r="G25" s="79">
        <f t="shared" si="5"/>
        <v>7.1999999999999995E-2</v>
      </c>
      <c r="H25" s="421">
        <v>0.25</v>
      </c>
      <c r="I25" s="79">
        <f t="shared" si="6"/>
        <v>1.7999999999999999E-2</v>
      </c>
      <c r="J25" s="604">
        <f>'7'!H25</f>
        <v>0.9</v>
      </c>
      <c r="K25" s="421">
        <v>0.75</v>
      </c>
      <c r="L25" s="79">
        <f t="shared" si="7"/>
        <v>4.8599999999999997E-2</v>
      </c>
      <c r="M25" s="79">
        <f t="shared" si="8"/>
        <v>6.6599999999999993E-2</v>
      </c>
      <c r="N25" s="18">
        <f t="shared" si="9"/>
        <v>0.11459999999999999</v>
      </c>
      <c r="O25" s="605">
        <f>'7'!J25</f>
        <v>3800</v>
      </c>
      <c r="P25" s="606">
        <f>IF(O25&gt;'Kroll Size Adjustment'!$B$9,'Kroll Size Adjustment'!$D$9,IF(O25&gt;'Kroll Size Adjustment'!$B$10,'Kroll Size Adjustment'!$D$10,IF(O25&gt;'Kroll Size Adjustment'!$B$11,'Kroll Size Adjustment'!$D$11,IF(O25&gt;'Kroll Size Adjustment'!$B$12,'Kroll Size Adjustment'!$D$12,IF(O25&gt;'Kroll Size Adjustment'!$B$13,'Kroll Size Adjustment'!$D$13,IF(O25&gt;'Kroll Size Adjustment'!$B$14,'Kroll Size Adjustment'!$D$14,IF(O25&gt;'Kroll Size Adjustment'!$B$15,'Kroll Size Adjustment'!$D$15,IF(O25&gt;'Kroll Size Adjustment'!$B$16,'Kroll Size Adjustment'!$D$16,"ERROR"))))))))</f>
        <v>0.01</v>
      </c>
      <c r="Q25" s="168">
        <f t="shared" si="10"/>
        <v>0.12459999999999999</v>
      </c>
      <c r="R25" s="79"/>
      <c r="S25" s="14"/>
      <c r="T25" s="14"/>
      <c r="U25" s="193">
        <f t="shared" si="11"/>
        <v>0.11459999999999999</v>
      </c>
      <c r="V25" s="193"/>
      <c r="X25" s="193">
        <f t="shared" si="12"/>
        <v>0.12459999999999999</v>
      </c>
    </row>
    <row r="26" spans="1:24">
      <c r="A26" s="162">
        <f t="shared" si="3"/>
        <v>18</v>
      </c>
      <c r="B26" s="13" t="str">
        <f>'Proxy Group Ticker'!C20</f>
        <v>Pinnacle West Capital</v>
      </c>
      <c r="C26" s="18">
        <f>ROUND('2025 05 Market DCF'!$M$409,3)</f>
        <v>1.7000000000000001E-2</v>
      </c>
      <c r="D26" s="18">
        <f>ROUND('2025 05 Market DCF'!$V$410,3)</f>
        <v>0.10299999999999999</v>
      </c>
      <c r="E26" s="18">
        <f t="shared" si="4"/>
        <v>0.12</v>
      </c>
      <c r="F26" s="18">
        <f>ROUND('Bond Yields'!$G$14,3)</f>
        <v>4.8000000000000001E-2</v>
      </c>
      <c r="G26" s="79">
        <f t="shared" si="5"/>
        <v>7.1999999999999995E-2</v>
      </c>
      <c r="H26" s="421">
        <v>0.25</v>
      </c>
      <c r="I26" s="79">
        <f t="shared" si="6"/>
        <v>1.7999999999999999E-2</v>
      </c>
      <c r="J26" s="604">
        <f>'7'!H26</f>
        <v>0.8</v>
      </c>
      <c r="K26" s="421">
        <v>0.75</v>
      </c>
      <c r="L26" s="79">
        <f t="shared" si="7"/>
        <v>4.3200000000000002E-2</v>
      </c>
      <c r="M26" s="79">
        <f t="shared" si="8"/>
        <v>6.1200000000000004E-2</v>
      </c>
      <c r="N26" s="18">
        <f t="shared" si="9"/>
        <v>0.10920000000000001</v>
      </c>
      <c r="O26" s="605">
        <f>'7'!J26</f>
        <v>10600</v>
      </c>
      <c r="P26" s="606">
        <f>IF(O26&gt;'Kroll Size Adjustment'!$B$9,'Kroll Size Adjustment'!$D$9,IF(O26&gt;'Kroll Size Adjustment'!$B$10,'Kroll Size Adjustment'!$D$10,IF(O26&gt;'Kroll Size Adjustment'!$B$11,'Kroll Size Adjustment'!$D$11,IF(O26&gt;'Kroll Size Adjustment'!$B$12,'Kroll Size Adjustment'!$D$12,IF(O26&gt;'Kroll Size Adjustment'!$B$13,'Kroll Size Adjustment'!$D$13,IF(O26&gt;'Kroll Size Adjustment'!$B$14,'Kroll Size Adjustment'!$D$14,IF(O26&gt;'Kroll Size Adjustment'!$B$15,'Kroll Size Adjustment'!$D$15,IF(O26&gt;'Kroll Size Adjustment'!$B$16,'Kroll Size Adjustment'!$D$16,"ERROR"))))))))</f>
        <v>4.8999999999999998E-3</v>
      </c>
      <c r="Q26" s="168">
        <f t="shared" si="10"/>
        <v>0.11410000000000001</v>
      </c>
      <c r="R26" s="79"/>
      <c r="S26" s="14"/>
      <c r="T26" s="14"/>
      <c r="U26" s="193">
        <f t="shared" si="11"/>
        <v>0.10920000000000001</v>
      </c>
      <c r="V26" s="193"/>
      <c r="X26" s="193">
        <f t="shared" si="12"/>
        <v>0.11410000000000001</v>
      </c>
    </row>
    <row r="27" spans="1:24">
      <c r="A27" s="162">
        <f t="shared" si="3"/>
        <v>19</v>
      </c>
      <c r="B27" s="13" t="str">
        <f>'Proxy Group Ticker'!C21</f>
        <v>Pub Sv Enterprise Grp.</v>
      </c>
      <c r="C27" s="18">
        <f>ROUND('2025 05 Market DCF'!$M$409,3)</f>
        <v>1.7000000000000001E-2</v>
      </c>
      <c r="D27" s="18">
        <f>ROUND('2025 05 Market DCF'!$V$410,3)</f>
        <v>0.10299999999999999</v>
      </c>
      <c r="E27" s="18">
        <f t="shared" si="4"/>
        <v>0.12</v>
      </c>
      <c r="F27" s="18">
        <f>ROUND('Bond Yields'!$G$14,3)</f>
        <v>4.8000000000000001E-2</v>
      </c>
      <c r="G27" s="79">
        <f t="shared" si="5"/>
        <v>7.1999999999999995E-2</v>
      </c>
      <c r="H27" s="421">
        <v>0.25</v>
      </c>
      <c r="I27" s="79">
        <f t="shared" si="6"/>
        <v>1.7999999999999999E-2</v>
      </c>
      <c r="J27" s="604">
        <f>'7'!H27</f>
        <v>0.85</v>
      </c>
      <c r="K27" s="421">
        <v>0.75</v>
      </c>
      <c r="L27" s="79">
        <f t="shared" si="7"/>
        <v>4.5899999999999996E-2</v>
      </c>
      <c r="M27" s="79">
        <f t="shared" si="8"/>
        <v>6.3899999999999998E-2</v>
      </c>
      <c r="N27" s="18">
        <f t="shared" si="9"/>
        <v>0.1119</v>
      </c>
      <c r="O27" s="605">
        <f>'7'!J27</f>
        <v>45000</v>
      </c>
      <c r="P27" s="606">
        <f>IF(O27&gt;'Kroll Size Adjustment'!$B$9,'Kroll Size Adjustment'!$D$9,IF(O27&gt;'Kroll Size Adjustment'!$B$10,'Kroll Size Adjustment'!$D$10,IF(O27&gt;'Kroll Size Adjustment'!$B$11,'Kroll Size Adjustment'!$D$11,IF(O27&gt;'Kroll Size Adjustment'!$B$12,'Kroll Size Adjustment'!$D$12,IF(O27&gt;'Kroll Size Adjustment'!$B$13,'Kroll Size Adjustment'!$D$13,IF(O27&gt;'Kroll Size Adjustment'!$B$14,'Kroll Size Adjustment'!$D$14,IF(O27&gt;'Kroll Size Adjustment'!$B$15,'Kroll Size Adjustment'!$D$15,IF(O27&gt;'Kroll Size Adjustment'!$B$16,'Kroll Size Adjustment'!$D$16,"ERROR"))))))))</f>
        <v>3.3E-3</v>
      </c>
      <c r="Q27" s="168">
        <f t="shared" si="10"/>
        <v>0.1152</v>
      </c>
      <c r="R27" s="79"/>
      <c r="S27" s="14"/>
      <c r="T27" s="14"/>
      <c r="U27" s="193">
        <f t="shared" si="11"/>
        <v>0.1119</v>
      </c>
      <c r="V27" s="193"/>
      <c r="X27" s="193">
        <f t="shared" si="12"/>
        <v>0.1152</v>
      </c>
    </row>
    <row r="28" spans="1:24">
      <c r="A28" s="162">
        <f t="shared" si="3"/>
        <v>20</v>
      </c>
      <c r="B28" s="13" t="str">
        <f>'Proxy Group Ticker'!C22</f>
        <v>Sempra</v>
      </c>
      <c r="C28" s="18">
        <f>ROUND('2025 05 Market DCF'!$M$409,3)</f>
        <v>1.7000000000000001E-2</v>
      </c>
      <c r="D28" s="18">
        <f>ROUND('2025 05 Market DCF'!$V$410,3)</f>
        <v>0.10299999999999999</v>
      </c>
      <c r="E28" s="18">
        <f t="shared" si="4"/>
        <v>0.12</v>
      </c>
      <c r="F28" s="18">
        <f>ROUND('Bond Yields'!$G$14,3)</f>
        <v>4.8000000000000001E-2</v>
      </c>
      <c r="G28" s="79">
        <f t="shared" si="5"/>
        <v>7.1999999999999995E-2</v>
      </c>
      <c r="H28" s="421">
        <v>0.25</v>
      </c>
      <c r="I28" s="79">
        <f t="shared" si="6"/>
        <v>1.7999999999999999E-2</v>
      </c>
      <c r="J28" s="604">
        <f>'7'!H28</f>
        <v>0.9</v>
      </c>
      <c r="K28" s="421">
        <v>0.75</v>
      </c>
      <c r="L28" s="79">
        <f t="shared" si="7"/>
        <v>4.8599999999999997E-2</v>
      </c>
      <c r="M28" s="79">
        <f t="shared" si="8"/>
        <v>6.6599999999999993E-2</v>
      </c>
      <c r="N28" s="18">
        <f t="shared" si="9"/>
        <v>0.11459999999999999</v>
      </c>
      <c r="O28" s="605">
        <f>'7'!J28</f>
        <v>41600</v>
      </c>
      <c r="P28" s="606">
        <f>IF(O28&gt;'Kroll Size Adjustment'!$B$9,'Kroll Size Adjustment'!$D$9,IF(O28&gt;'Kroll Size Adjustment'!$B$10,'Kroll Size Adjustment'!$D$10,IF(O28&gt;'Kroll Size Adjustment'!$B$11,'Kroll Size Adjustment'!$D$11,IF(O28&gt;'Kroll Size Adjustment'!$B$12,'Kroll Size Adjustment'!$D$12,IF(O28&gt;'Kroll Size Adjustment'!$B$13,'Kroll Size Adjustment'!$D$13,IF(O28&gt;'Kroll Size Adjustment'!$B$14,'Kroll Size Adjustment'!$D$14,IF(O28&gt;'Kroll Size Adjustment'!$B$15,'Kroll Size Adjustment'!$D$15,IF(O28&gt;'Kroll Size Adjustment'!$B$16,'Kroll Size Adjustment'!$D$16,"ERROR"))))))))</f>
        <v>3.3E-3</v>
      </c>
      <c r="Q28" s="168">
        <f t="shared" si="10"/>
        <v>0.11789999999999999</v>
      </c>
      <c r="R28" s="79"/>
      <c r="S28" s="14"/>
      <c r="T28" s="14"/>
      <c r="U28" s="193">
        <f t="shared" si="11"/>
        <v>0.11459999999999999</v>
      </c>
      <c r="V28" s="193"/>
      <c r="X28" s="193">
        <f t="shared" si="12"/>
        <v>0.11789999999999999</v>
      </c>
    </row>
    <row r="29" spans="1:24" ht="4.1500000000000004" customHeight="1">
      <c r="A29" s="303"/>
      <c r="B29" s="14"/>
      <c r="C29" s="79"/>
      <c r="D29" s="79"/>
      <c r="E29" s="79"/>
      <c r="F29" s="79"/>
      <c r="G29" s="79"/>
      <c r="N29" s="607"/>
      <c r="O29" s="608"/>
      <c r="P29" s="606"/>
      <c r="Q29" s="609"/>
      <c r="R29" s="79"/>
      <c r="S29" s="14"/>
      <c r="T29" s="14"/>
      <c r="U29" s="14"/>
      <c r="V29" s="14"/>
      <c r="X29" s="610"/>
    </row>
    <row r="30" spans="1:24" ht="17.25" customHeight="1">
      <c r="B30" s="278" t="s">
        <v>47</v>
      </c>
      <c r="C30" s="203"/>
      <c r="D30" s="203"/>
      <c r="E30" s="203"/>
      <c r="F30" s="203"/>
      <c r="G30" s="203"/>
      <c r="H30" s="611"/>
      <c r="I30" s="612"/>
      <c r="J30" s="612"/>
      <c r="K30" s="611"/>
      <c r="L30" s="611"/>
      <c r="N30" s="203">
        <f>AVERAGE(U9:U28)</f>
        <v>0.109065</v>
      </c>
      <c r="P30" s="611"/>
      <c r="Q30" s="613">
        <f>AVERAGE(X9:X28)</f>
        <v>0.11351</v>
      </c>
      <c r="R30" s="203"/>
      <c r="W30" s="4" t="s">
        <v>244</v>
      </c>
      <c r="X30" s="168">
        <f>MIN(X9:X28)</f>
        <v>0.10099999999999999</v>
      </c>
    </row>
    <row r="31" spans="1:24" ht="17.25" hidden="1" customHeight="1">
      <c r="A31" s="278"/>
      <c r="B31" s="278" t="s">
        <v>1489</v>
      </c>
      <c r="C31" s="192"/>
      <c r="D31" s="192"/>
      <c r="E31" s="7"/>
      <c r="F31" s="7"/>
      <c r="G31" s="7"/>
      <c r="H31" s="611"/>
      <c r="I31" s="612"/>
      <c r="J31" s="612"/>
      <c r="K31" s="611"/>
      <c r="L31" s="611"/>
      <c r="M31" s="611"/>
      <c r="N31" s="192"/>
      <c r="P31" s="611"/>
      <c r="Q31" s="613">
        <f>AVERAGE(X30:X32)</f>
        <v>0.11279999999999998</v>
      </c>
      <c r="R31" s="7"/>
      <c r="S31" s="171"/>
      <c r="T31" s="171"/>
      <c r="U31" s="171"/>
      <c r="V31" s="171"/>
    </row>
    <row r="32" spans="1:24" ht="17.25" customHeight="1">
      <c r="B32" s="434"/>
      <c r="C32" s="203"/>
      <c r="D32" s="203"/>
      <c r="E32" s="203"/>
      <c r="F32" s="203"/>
      <c r="G32" s="203"/>
      <c r="H32" s="611"/>
      <c r="I32" s="612"/>
      <c r="J32" s="612"/>
      <c r="K32" s="611"/>
      <c r="L32" s="611"/>
      <c r="M32" s="611"/>
      <c r="N32" s="611"/>
      <c r="P32" s="611"/>
      <c r="Q32" s="192"/>
      <c r="R32" s="203"/>
      <c r="W32" s="4" t="s">
        <v>245</v>
      </c>
      <c r="X32" s="168">
        <f>MAX(X9:X28)</f>
        <v>0.12459999999999999</v>
      </c>
    </row>
    <row r="33" spans="1:24" s="8" customFormat="1" ht="13">
      <c r="A33" s="296" t="s">
        <v>21</v>
      </c>
      <c r="B33" s="8" t="str">
        <f>"Weighted average for dividend-paying stocks in the S&amp;P 500 based on data from "&amp;'2025 05 Market DCF'!B418</f>
        <v>Weighted average for dividend-paying stocks in the S&amp;P 500 based on data from www.valueline.com (retrieved May 8, 2025).</v>
      </c>
      <c r="C33" s="296"/>
      <c r="D33" s="296"/>
      <c r="E33" s="296"/>
      <c r="F33" s="296"/>
      <c r="G33" s="296"/>
      <c r="H33" s="296"/>
      <c r="I33" s="614"/>
      <c r="J33" s="614"/>
      <c r="K33" s="296"/>
      <c r="L33" s="296"/>
      <c r="M33" s="296"/>
      <c r="N33" s="296"/>
      <c r="O33" s="615"/>
      <c r="P33" s="296"/>
      <c r="Q33" s="296"/>
      <c r="R33" s="616"/>
      <c r="X33" s="617"/>
    </row>
    <row r="34" spans="1:24" s="8" customFormat="1" ht="13.15" customHeight="1">
      <c r="A34" s="296" t="s">
        <v>22</v>
      </c>
      <c r="B34" s="1457" t="str">
        <f>"Average of weighted average earnings growth rates from IBES, Value Line, and Zacks for dividend-paying stocks in the S&amp;P 500 based on data from "&amp;'2025 05 Market DCF'!B419&amp;", "&amp;'2025 05 Market DCF'!B418&amp;", and "&amp;'2025 05 Market DCF'!B420&amp;".  Eliminated growth rates that were greater than 20%, as well as all negative values."</f>
        <v>Average of weighted average earnings growth rates from IBES, Value Line, and Zacks for dividend-paying stocks in the S&amp;P 500 based on data from LSEG, as provided by fidelity.com (retrieved May 8, 2025), www.valueline.com (retrieved May 8, 2025)., and www.zacks.com (retrieved May 8, 2025).  Eliminated growth rates that were greater than 20%, as well as all negative values.</v>
      </c>
      <c r="C34" s="1457"/>
      <c r="D34" s="1457"/>
      <c r="E34" s="1457"/>
      <c r="F34" s="1457"/>
      <c r="G34" s="1457"/>
      <c r="H34" s="1457"/>
      <c r="I34" s="1457"/>
      <c r="J34" s="1457"/>
      <c r="K34" s="1457"/>
      <c r="L34" s="1457"/>
      <c r="M34" s="1457"/>
      <c r="N34" s="1457"/>
      <c r="O34" s="1457"/>
      <c r="P34" s="1457"/>
      <c r="Q34" s="1457"/>
    </row>
    <row r="35" spans="1:24" s="8" customFormat="1" ht="13.15" customHeight="1">
      <c r="A35" s="296"/>
      <c r="B35" s="1457"/>
      <c r="C35" s="1457"/>
      <c r="D35" s="1457"/>
      <c r="E35" s="1457"/>
      <c r="F35" s="1457"/>
      <c r="G35" s="1457"/>
      <c r="H35" s="1457"/>
      <c r="I35" s="1457"/>
      <c r="J35" s="1457"/>
      <c r="K35" s="1457"/>
      <c r="L35" s="1457"/>
      <c r="M35" s="1457"/>
      <c r="N35" s="1457"/>
      <c r="O35" s="1457"/>
      <c r="P35" s="1457"/>
      <c r="Q35" s="1457"/>
    </row>
    <row r="36" spans="1:24" s="8" customFormat="1" ht="13">
      <c r="A36" s="618" t="s">
        <v>23</v>
      </c>
      <c r="B36" s="5" t="str">
        <f>"Average yield on 30-year Treasury bonds for six-months ending "&amp;'Bond Yields'!B12&amp;" based on data from "&amp;'Bond Yields'!B17&amp;"."</f>
        <v>Average yield on 30-year Treasury bonds for six-months ending Jun. 2025 based on data from Moody's Investors Service.</v>
      </c>
      <c r="C36" s="438"/>
      <c r="D36" s="438"/>
      <c r="E36" s="438"/>
      <c r="F36" s="438"/>
      <c r="G36" s="438"/>
      <c r="H36" s="438"/>
      <c r="I36" s="438"/>
      <c r="J36" s="438"/>
      <c r="K36" s="438"/>
      <c r="L36" s="438"/>
      <c r="M36" s="438"/>
      <c r="N36" s="438"/>
      <c r="O36" s="615"/>
      <c r="P36" s="438"/>
      <c r="Q36" s="438"/>
    </row>
    <row r="37" spans="1:24" s="8" customFormat="1" ht="13">
      <c r="A37" s="296" t="s">
        <v>24</v>
      </c>
      <c r="B37" s="438" t="s">
        <v>1990</v>
      </c>
      <c r="C37" s="296"/>
      <c r="D37" s="296"/>
      <c r="E37" s="296"/>
      <c r="F37" s="296"/>
      <c r="G37" s="296"/>
      <c r="H37" s="296"/>
      <c r="I37" s="614"/>
      <c r="J37" s="614"/>
      <c r="K37" s="296"/>
      <c r="L37" s="296"/>
      <c r="M37" s="296"/>
      <c r="N37" s="296"/>
      <c r="O37" s="615"/>
      <c r="P37" s="296"/>
      <c r="Q37" s="296"/>
      <c r="R37" s="616"/>
    </row>
    <row r="38" spans="1:24" s="8" customFormat="1" ht="13">
      <c r="A38" s="296" t="s">
        <v>25</v>
      </c>
      <c r="B38" s="8" t="str">
        <f>'Electric Utility Data'!B47</f>
        <v>The Value Line Investment Survey, Summary &amp; Index (May 23, 2025).</v>
      </c>
      <c r="C38" s="296"/>
      <c r="D38" s="296"/>
      <c r="E38" s="296"/>
      <c r="F38" s="296"/>
      <c r="G38" s="296"/>
      <c r="H38" s="296"/>
      <c r="I38" s="614"/>
      <c r="J38" s="614"/>
      <c r="K38" s="296"/>
      <c r="L38" s="296"/>
      <c r="M38" s="296"/>
      <c r="N38" s="296"/>
      <c r="O38" s="615"/>
      <c r="P38" s="296"/>
      <c r="Q38" s="296"/>
      <c r="R38" s="616"/>
    </row>
    <row r="39" spans="1:24" s="8" customFormat="1" ht="13">
      <c r="A39" s="618" t="s">
        <v>26</v>
      </c>
      <c r="B39" s="8" t="str">
        <f>'Electric Utility Data'!B48</f>
        <v>The Value Line Investment Survey (Mar. 7, Apr. 18, and May 9, 2025).</v>
      </c>
      <c r="C39" s="296"/>
      <c r="D39" s="296"/>
      <c r="E39" s="296"/>
      <c r="F39" s="296"/>
      <c r="G39" s="296"/>
      <c r="H39" s="296"/>
      <c r="I39" s="614"/>
      <c r="J39" s="614"/>
      <c r="K39" s="296"/>
      <c r="L39" s="296"/>
      <c r="M39" s="296"/>
      <c r="N39" s="296"/>
      <c r="O39" s="615"/>
      <c r="P39" s="296"/>
      <c r="Q39" s="296"/>
      <c r="R39" s="616"/>
    </row>
    <row r="40" spans="1:24" s="8" customFormat="1" ht="13">
      <c r="A40" s="8" t="s">
        <v>27</v>
      </c>
      <c r="B40" s="8" t="str">
        <f>'Kroll Size Adjustment'!A28</f>
        <v>Kroll, 2024 CRSP Deciles Size Premium, Cost of Capital Navigator (2025).</v>
      </c>
      <c r="C40" s="438"/>
      <c r="D40" s="438"/>
      <c r="E40" s="438"/>
      <c r="F40" s="438"/>
      <c r="G40" s="438"/>
      <c r="H40" s="619"/>
      <c r="I40" s="620"/>
      <c r="J40" s="620"/>
      <c r="K40" s="619"/>
      <c r="L40" s="619"/>
      <c r="M40" s="619"/>
      <c r="N40" s="619"/>
      <c r="O40" s="615"/>
      <c r="P40" s="619"/>
      <c r="Q40" s="438"/>
    </row>
    <row r="41" spans="1:24" s="8" customFormat="1" ht="13">
      <c r="C41" s="616"/>
      <c r="D41" s="616"/>
      <c r="E41" s="616"/>
      <c r="F41" s="616"/>
      <c r="G41" s="616"/>
      <c r="H41" s="616"/>
      <c r="I41" s="621"/>
      <c r="J41" s="621"/>
      <c r="K41" s="616"/>
      <c r="L41" s="616"/>
      <c r="M41" s="616"/>
      <c r="N41" s="616"/>
      <c r="O41" s="617"/>
      <c r="P41" s="616"/>
      <c r="Q41" s="616"/>
      <c r="R41" s="616"/>
    </row>
    <row r="42" spans="1:24">
      <c r="C42" s="18"/>
      <c r="D42" s="18"/>
      <c r="E42" s="180"/>
      <c r="F42" s="79"/>
      <c r="H42" s="622"/>
      <c r="I42" s="623"/>
      <c r="J42" s="623"/>
      <c r="K42" s="622"/>
      <c r="L42" s="622"/>
      <c r="M42" s="622"/>
      <c r="N42" s="622"/>
      <c r="P42" s="622"/>
      <c r="Q42" s="622"/>
      <c r="R42" s="622"/>
    </row>
    <row r="43" spans="1:24">
      <c r="A43" s="4" t="s">
        <v>254</v>
      </c>
      <c r="D43" s="389">
        <f>'[2]5 (3)'!D41</f>
        <v>7.3599999999999999E-2</v>
      </c>
      <c r="E43" s="180"/>
      <c r="F43" s="18"/>
      <c r="H43" s="622"/>
      <c r="I43" s="623"/>
      <c r="J43" s="623"/>
      <c r="K43" s="622"/>
      <c r="L43" s="622"/>
      <c r="M43" s="622"/>
      <c r="N43" s="622"/>
      <c r="P43" s="622"/>
      <c r="Q43" s="622"/>
      <c r="R43" s="622"/>
    </row>
    <row r="44" spans="1:24">
      <c r="A44" s="4" t="s">
        <v>255</v>
      </c>
      <c r="D44" s="389">
        <f>'[2]5 (3)'!D42</f>
        <v>0.1595</v>
      </c>
      <c r="E44" s="180"/>
      <c r="F44" s="18"/>
      <c r="H44" s="622"/>
      <c r="I44" s="623"/>
      <c r="J44" s="623"/>
      <c r="K44" s="622"/>
      <c r="L44" s="622"/>
      <c r="M44" s="622"/>
      <c r="N44" s="622"/>
      <c r="P44" s="622"/>
      <c r="Q44" s="622"/>
      <c r="R44" s="622"/>
    </row>
  </sheetData>
  <mergeCells count="4">
    <mergeCell ref="C6:E6"/>
    <mergeCell ref="H7:I7"/>
    <mergeCell ref="J7:L7"/>
    <mergeCell ref="B34:Q35"/>
  </mergeCells>
  <conditionalFormatting sqref="Q9:Q28 N9:N28">
    <cfRule type="expression" dxfId="12" priority="1">
      <formula>U9="n/a"</formula>
    </cfRule>
    <cfRule type="expression" dxfId="11" priority="2">
      <formula>U9="LOW"</formula>
    </cfRule>
    <cfRule type="expression" dxfId="10" priority="3">
      <formula>U9="HIGH"</formula>
    </cfRule>
  </conditionalFormatting>
  <printOptions horizontalCentered="1"/>
  <pageMargins left="0.5" right="0.5" top="0.75" bottom="0.25" header="0.5" footer="0.5"/>
  <pageSetup scale="83"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dimension ref="A1:M30"/>
  <sheetViews>
    <sheetView view="pageBreakPreview" zoomScaleNormal="100" zoomScaleSheetLayoutView="100" workbookViewId="0"/>
  </sheetViews>
  <sheetFormatPr defaultColWidth="9.26953125" defaultRowHeight="15.5"/>
  <cols>
    <col min="1" max="1" width="9.26953125" style="57"/>
    <col min="2" max="2" width="3.54296875" style="57" customWidth="1"/>
    <col min="3" max="3" width="2.54296875" style="57" customWidth="1"/>
    <col min="4" max="4" width="22.453125" style="57" customWidth="1"/>
    <col min="5" max="5" width="9.26953125" style="57" customWidth="1"/>
    <col min="6" max="6" width="18.54296875" style="57" customWidth="1"/>
    <col min="7" max="8" width="9.26953125" style="57" customWidth="1"/>
    <col min="9" max="16384" width="9.26953125" style="57"/>
  </cols>
  <sheetData>
    <row r="1" spans="1:8">
      <c r="A1" s="331" t="str">
        <f>'Exhibit List'!C14</f>
        <v>UTILITY RISK PREMIUM</v>
      </c>
      <c r="H1" s="357" t="str">
        <f>'Exhibit List'!B14</f>
        <v>Exhibit AMM-9</v>
      </c>
    </row>
    <row r="2" spans="1:8">
      <c r="D2" s="91"/>
      <c r="H2" s="357" t="s">
        <v>238</v>
      </c>
    </row>
    <row r="3" spans="1:8">
      <c r="A3" s="335" t="str">
        <f>'Exhibit List'!D14</f>
        <v>COST OF EQUITY ESTIMATE</v>
      </c>
    </row>
    <row r="4" spans="1:8">
      <c r="B4" s="335"/>
    </row>
    <row r="5" spans="1:8">
      <c r="B5" s="335"/>
    </row>
    <row r="7" spans="1:8">
      <c r="B7" s="358" t="s">
        <v>299</v>
      </c>
      <c r="C7" s="359"/>
      <c r="D7" s="359"/>
      <c r="E7" s="359"/>
      <c r="F7" s="359"/>
      <c r="G7" s="359"/>
    </row>
    <row r="8" spans="1:8">
      <c r="B8" s="57" t="s">
        <v>21</v>
      </c>
      <c r="C8" s="360" t="s">
        <v>300</v>
      </c>
      <c r="D8" s="332"/>
      <c r="E8" s="332"/>
      <c r="F8" s="332"/>
      <c r="G8" s="350">
        <f>ROUND(+'9 (2)'!O33,4)</f>
        <v>7.7399999999999997E-2</v>
      </c>
    </row>
    <row r="9" spans="1:8">
      <c r="B9" s="57" t="s">
        <v>22</v>
      </c>
      <c r="C9" s="361" t="s">
        <v>301</v>
      </c>
      <c r="D9" s="332"/>
      <c r="E9" s="332"/>
      <c r="F9" s="332"/>
      <c r="G9" s="362">
        <f>'Bond Yields'!F14</f>
        <v>5.8900000000000001E-2</v>
      </c>
    </row>
    <row r="10" spans="1:8">
      <c r="D10" s="360" t="s">
        <v>302</v>
      </c>
      <c r="E10" s="332"/>
      <c r="F10" s="332"/>
      <c r="G10" s="350">
        <f>-G8+G9</f>
        <v>-1.8499999999999996E-2</v>
      </c>
    </row>
    <row r="11" spans="1:8">
      <c r="C11" s="332"/>
      <c r="D11" s="332"/>
      <c r="E11" s="332"/>
      <c r="F11" s="332"/>
      <c r="G11" s="332"/>
    </row>
    <row r="12" spans="1:8">
      <c r="B12" s="57" t="s">
        <v>23</v>
      </c>
      <c r="C12" s="360" t="s">
        <v>303</v>
      </c>
      <c r="D12" s="332"/>
      <c r="E12" s="332"/>
      <c r="F12" s="350"/>
      <c r="G12" s="363">
        <f>ROUND('9 (3)'!B45,4)</f>
        <v>-0.42120000000000002</v>
      </c>
    </row>
    <row r="13" spans="1:8">
      <c r="D13" s="360" t="s">
        <v>304</v>
      </c>
      <c r="E13" s="350"/>
      <c r="F13" s="350"/>
      <c r="G13" s="350">
        <f>G10*G12</f>
        <v>7.7921999999999983E-3</v>
      </c>
    </row>
    <row r="14" spans="1:8">
      <c r="C14" s="332"/>
      <c r="D14" s="332"/>
      <c r="E14" s="332"/>
      <c r="F14" s="332"/>
      <c r="G14" s="332"/>
    </row>
    <row r="15" spans="1:8">
      <c r="B15" s="57" t="s">
        <v>21</v>
      </c>
      <c r="C15" s="360" t="s">
        <v>305</v>
      </c>
      <c r="D15" s="332"/>
      <c r="E15" s="350"/>
      <c r="F15" s="350"/>
      <c r="G15" s="362">
        <f>ROUND('9 (2)'!Q33,4)</f>
        <v>3.9E-2</v>
      </c>
    </row>
    <row r="16" spans="1:8" ht="17.25" customHeight="1">
      <c r="D16" s="364" t="s">
        <v>306</v>
      </c>
      <c r="E16" s="365"/>
      <c r="F16" s="366"/>
      <c r="G16" s="348">
        <f>G13+G15</f>
        <v>4.6792199999999999E-2</v>
      </c>
    </row>
    <row r="19" spans="2:13">
      <c r="B19" s="358" t="s">
        <v>307</v>
      </c>
      <c r="C19" s="359"/>
      <c r="D19" s="359"/>
      <c r="E19" s="359"/>
      <c r="F19" s="359"/>
      <c r="G19" s="359"/>
    </row>
    <row r="20" spans="2:13">
      <c r="B20" s="57" t="s">
        <v>22</v>
      </c>
      <c r="C20" s="360" t="s">
        <v>308</v>
      </c>
      <c r="G20" s="367">
        <f>'Bond Yields'!C14</f>
        <v>6.0600000000000001E-2</v>
      </c>
    </row>
    <row r="21" spans="2:13">
      <c r="C21" s="57" t="s">
        <v>309</v>
      </c>
      <c r="G21" s="368">
        <f>G16</f>
        <v>4.6792199999999999E-2</v>
      </c>
    </row>
    <row r="22" spans="2:13" ht="4.5" customHeight="1"/>
    <row r="23" spans="2:13">
      <c r="C23" s="331" t="s">
        <v>310</v>
      </c>
      <c r="G23" s="369">
        <f>G20+G21</f>
        <v>0.10739219999999999</v>
      </c>
    </row>
    <row r="27" spans="2:13" s="370" customFormat="1" ht="13">
      <c r="B27" s="370" t="s">
        <v>21</v>
      </c>
      <c r="C27" s="370" t="str">
        <f>H1 &amp; ", page 2."</f>
        <v>Exhibit AMM-9, page 2.</v>
      </c>
    </row>
    <row r="28" spans="2:13" s="370" customFormat="1" ht="13.15" customHeight="1">
      <c r="B28" s="370" t="s">
        <v>22</v>
      </c>
      <c r="C28" s="1458" t="str">
        <f>"Average bond yield on all utility bonds and 'Baa' subset for six-months ending "&amp;'Bond Yields'!B12&amp;" based on data from Moody's Investors Service at www.credittrends.com."</f>
        <v>Average bond yield on all utility bonds and 'Baa' subset for six-months ending Jun. 2025 based on data from Moody's Investors Service at www.credittrends.com.</v>
      </c>
      <c r="D28" s="1458"/>
      <c r="E28" s="1458"/>
      <c r="F28" s="1458"/>
      <c r="G28" s="1458"/>
      <c r="H28" s="1458"/>
      <c r="J28" s="1458"/>
      <c r="K28" s="1458"/>
      <c r="L28" s="1458"/>
      <c r="M28" s="1458"/>
    </row>
    <row r="29" spans="2:13" s="370" customFormat="1" ht="13">
      <c r="C29" s="1458"/>
      <c r="D29" s="1458"/>
      <c r="E29" s="1458"/>
      <c r="F29" s="1458"/>
      <c r="G29" s="1458"/>
      <c r="H29" s="1458"/>
      <c r="J29" s="1458"/>
      <c r="K29" s="1458"/>
      <c r="L29" s="1458"/>
      <c r="M29" s="1458"/>
    </row>
    <row r="30" spans="2:13" s="370" customFormat="1" ht="13">
      <c r="B30" s="370" t="s">
        <v>23</v>
      </c>
      <c r="C30" s="370" t="str">
        <f>H1 &amp; ", page 3."</f>
        <v>Exhibit AMM-9, page 3.</v>
      </c>
    </row>
  </sheetData>
  <mergeCells count="2">
    <mergeCell ref="C28:H29"/>
    <mergeCell ref="J28:M29"/>
  </mergeCells>
  <printOptions horizontalCentered="1"/>
  <pageMargins left="0.5" right="0.5" top="0.75" bottom="0.25" header="0.5" footer="0.5"/>
  <pageSetup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dimension ref="A1:V92"/>
  <sheetViews>
    <sheetView view="pageBreakPreview" zoomScaleNormal="100" workbookViewId="0"/>
  </sheetViews>
  <sheetFormatPr defaultColWidth="8" defaultRowHeight="15.5"/>
  <cols>
    <col min="1" max="1" width="4.26953125" style="332" customWidth="1"/>
    <col min="2" max="2" width="8" style="332" customWidth="1"/>
    <col min="3" max="3" width="5.54296875" style="332" customWidth="1"/>
    <col min="4" max="4" width="9.54296875" style="332" customWidth="1"/>
    <col min="5" max="5" width="5.54296875" style="332" customWidth="1"/>
    <col min="6" max="6" width="8.453125" style="332" customWidth="1"/>
    <col min="7" max="7" width="5.54296875" style="332" customWidth="1"/>
    <col min="8" max="8" width="8" style="332" customWidth="1"/>
    <col min="9" max="10" width="4.26953125" style="332" customWidth="1"/>
    <col min="11" max="11" width="8" style="332" customWidth="1"/>
    <col min="12" max="12" width="5.54296875" style="332" customWidth="1"/>
    <col min="13" max="13" width="9.453125" style="332" customWidth="1"/>
    <col min="14" max="14" width="5.54296875" style="332" customWidth="1"/>
    <col min="15" max="15" width="8.453125" style="332" customWidth="1"/>
    <col min="16" max="16" width="5.54296875" style="332" customWidth="1"/>
    <col min="17" max="17" width="8" style="332" customWidth="1"/>
    <col min="18" max="18" width="4.26953125" style="332" customWidth="1"/>
    <col min="19" max="19" width="8" style="332"/>
    <col min="20" max="20" width="8.1796875" style="332" bestFit="1" customWidth="1"/>
    <col min="21" max="21" width="8.26953125" style="332" bestFit="1" customWidth="1"/>
    <col min="22" max="22" width="8.1796875" style="332" bestFit="1" customWidth="1"/>
    <col min="23" max="16384" width="8" style="332"/>
  </cols>
  <sheetData>
    <row r="1" spans="1:18">
      <c r="A1" s="331" t="str">
        <f>'Exhibit List'!C15</f>
        <v>UTILITY RISK PREMIUM</v>
      </c>
      <c r="J1" s="333"/>
      <c r="R1" s="333" t="str">
        <f>'Exhibit List'!B15</f>
        <v>Exhibit AMM-9</v>
      </c>
    </row>
    <row r="2" spans="1:18">
      <c r="A2" s="57"/>
      <c r="B2" s="91"/>
      <c r="C2" s="334"/>
      <c r="D2" s="334"/>
      <c r="E2" s="334"/>
      <c r="F2" s="334"/>
      <c r="G2" s="334"/>
      <c r="J2" s="333"/>
      <c r="K2" s="91"/>
      <c r="L2" s="334"/>
      <c r="M2" s="334"/>
      <c r="N2" s="334"/>
      <c r="O2" s="334"/>
      <c r="P2" s="334"/>
      <c r="R2" s="333" t="s">
        <v>246</v>
      </c>
    </row>
    <row r="3" spans="1:18">
      <c r="A3" s="335" t="str">
        <f>'Exhibit List'!D15</f>
        <v>AUTHORIZED RETURNS</v>
      </c>
      <c r="B3" s="334"/>
      <c r="C3" s="334"/>
      <c r="H3" s="334"/>
      <c r="K3" s="334"/>
      <c r="L3" s="334"/>
      <c r="Q3" s="334"/>
    </row>
    <row r="4" spans="1:18">
      <c r="A4" s="335"/>
      <c r="B4" s="334"/>
      <c r="C4" s="334"/>
      <c r="H4" s="334"/>
      <c r="K4" s="334"/>
      <c r="L4" s="334"/>
      <c r="Q4" s="334"/>
    </row>
    <row r="5" spans="1:18">
      <c r="A5" s="336"/>
      <c r="D5" s="337" t="s">
        <v>21</v>
      </c>
      <c r="F5" s="337" t="s">
        <v>22</v>
      </c>
      <c r="M5" s="337" t="s">
        <v>21</v>
      </c>
      <c r="O5" s="337" t="s">
        <v>22</v>
      </c>
    </row>
    <row r="6" spans="1:18">
      <c r="B6" s="338"/>
      <c r="C6" s="339"/>
      <c r="D6" s="338" t="s">
        <v>311</v>
      </c>
      <c r="E6" s="340"/>
      <c r="F6" s="338" t="s">
        <v>312</v>
      </c>
      <c r="G6" s="340"/>
      <c r="H6" s="338" t="s">
        <v>293</v>
      </c>
      <c r="K6" s="338"/>
      <c r="L6" s="339"/>
      <c r="M6" s="338" t="s">
        <v>311</v>
      </c>
      <c r="N6" s="340"/>
      <c r="O6" s="338" t="s">
        <v>312</v>
      </c>
      <c r="P6" s="340"/>
      <c r="Q6" s="338" t="s">
        <v>293</v>
      </c>
    </row>
    <row r="7" spans="1:18">
      <c r="B7" s="341" t="s">
        <v>135</v>
      </c>
      <c r="C7" s="342"/>
      <c r="D7" s="341" t="s">
        <v>313</v>
      </c>
      <c r="E7" s="343"/>
      <c r="F7" s="341" t="s">
        <v>314</v>
      </c>
      <c r="G7" s="343"/>
      <c r="H7" s="341" t="s">
        <v>298</v>
      </c>
      <c r="K7" s="341" t="s">
        <v>135</v>
      </c>
      <c r="L7" s="342"/>
      <c r="M7" s="341" t="s">
        <v>313</v>
      </c>
      <c r="N7" s="343"/>
      <c r="O7" s="341" t="s">
        <v>314</v>
      </c>
      <c r="P7" s="343"/>
      <c r="Q7" s="341" t="s">
        <v>298</v>
      </c>
    </row>
    <row r="8" spans="1:18">
      <c r="B8" s="337">
        <v>1974</v>
      </c>
      <c r="D8" s="344">
        <v>0.13100000000000001</v>
      </c>
      <c r="F8" s="344">
        <v>9.2700000000000005E-2</v>
      </c>
      <c r="H8" s="344">
        <f t="shared" ref="H8:H31" si="0">D8-F8</f>
        <v>3.8300000000000001E-2</v>
      </c>
      <c r="K8" s="337">
        <f>B33+1</f>
        <v>2000</v>
      </c>
      <c r="M8" s="344">
        <v>0.1158</v>
      </c>
      <c r="O8" s="344">
        <v>8.09E-2</v>
      </c>
      <c r="Q8" s="344">
        <f t="shared" ref="Q8:Q32" si="1">M8-O8</f>
        <v>3.49E-2</v>
      </c>
      <c r="R8" s="333"/>
    </row>
    <row r="9" spans="1:18">
      <c r="B9" s="337">
        <f t="shared" ref="B9:B33" si="2">B8+1</f>
        <v>1975</v>
      </c>
      <c r="D9" s="344">
        <v>0.13200000000000001</v>
      </c>
      <c r="F9" s="344">
        <v>9.8799999999999999E-2</v>
      </c>
      <c r="H9" s="344">
        <f t="shared" si="0"/>
        <v>3.3200000000000007E-2</v>
      </c>
      <c r="K9" s="337">
        <f t="shared" ref="K9:K32" si="3">K8+1</f>
        <v>2001</v>
      </c>
      <c r="M9" s="344">
        <v>0.11070000000000001</v>
      </c>
      <c r="O9" s="344">
        <v>7.7200000000000005E-2</v>
      </c>
      <c r="Q9" s="344">
        <f t="shared" si="1"/>
        <v>3.3500000000000002E-2</v>
      </c>
      <c r="R9" s="333"/>
    </row>
    <row r="10" spans="1:18">
      <c r="B10" s="337">
        <f t="shared" si="2"/>
        <v>1976</v>
      </c>
      <c r="D10" s="344">
        <v>0.13100000000000001</v>
      </c>
      <c r="F10" s="344">
        <v>9.1700000000000004E-2</v>
      </c>
      <c r="H10" s="344">
        <f t="shared" si="0"/>
        <v>3.9300000000000002E-2</v>
      </c>
      <c r="K10" s="337">
        <f t="shared" si="3"/>
        <v>2002</v>
      </c>
      <c r="M10" s="344">
        <v>0.11210000000000001</v>
      </c>
      <c r="O10" s="344">
        <v>7.5300000000000006E-2</v>
      </c>
      <c r="Q10" s="344">
        <f t="shared" si="1"/>
        <v>3.6799999999999999E-2</v>
      </c>
      <c r="R10" s="333"/>
    </row>
    <row r="11" spans="1:18">
      <c r="B11" s="337">
        <f t="shared" si="2"/>
        <v>1977</v>
      </c>
      <c r="D11" s="344">
        <v>0.13300000000000001</v>
      </c>
      <c r="F11" s="344">
        <v>8.5800000000000001E-2</v>
      </c>
      <c r="H11" s="344">
        <f t="shared" si="0"/>
        <v>4.7200000000000006E-2</v>
      </c>
      <c r="K11" s="337">
        <f t="shared" si="3"/>
        <v>2003</v>
      </c>
      <c r="M11" s="344">
        <v>0.1096</v>
      </c>
      <c r="O11" s="344">
        <v>6.6100000000000006E-2</v>
      </c>
      <c r="Q11" s="344">
        <f t="shared" si="1"/>
        <v>4.3499999999999997E-2</v>
      </c>
    </row>
    <row r="12" spans="1:18">
      <c r="B12" s="337">
        <f t="shared" si="2"/>
        <v>1978</v>
      </c>
      <c r="D12" s="344">
        <v>0.13200000000000001</v>
      </c>
      <c r="F12" s="344">
        <v>9.2200000000000004E-2</v>
      </c>
      <c r="H12" s="344">
        <f t="shared" si="0"/>
        <v>3.9800000000000002E-2</v>
      </c>
      <c r="K12" s="337">
        <f t="shared" si="3"/>
        <v>2004</v>
      </c>
      <c r="M12" s="344">
        <v>0.1081</v>
      </c>
      <c r="O12" s="344">
        <v>6.2E-2</v>
      </c>
      <c r="Q12" s="344">
        <f t="shared" si="1"/>
        <v>4.6100000000000002E-2</v>
      </c>
    </row>
    <row r="13" spans="1:18">
      <c r="B13" s="337">
        <f t="shared" si="2"/>
        <v>1979</v>
      </c>
      <c r="D13" s="344">
        <v>0.13500000000000001</v>
      </c>
      <c r="F13" s="344">
        <v>0.10390000000000001</v>
      </c>
      <c r="H13" s="344">
        <f t="shared" si="0"/>
        <v>3.1100000000000003E-2</v>
      </c>
      <c r="K13" s="337">
        <f t="shared" si="3"/>
        <v>2005</v>
      </c>
      <c r="M13" s="344">
        <v>0.1051</v>
      </c>
      <c r="O13" s="344">
        <v>5.67E-2</v>
      </c>
      <c r="Q13" s="344">
        <f t="shared" si="1"/>
        <v>4.8399999999999999E-2</v>
      </c>
    </row>
    <row r="14" spans="1:18">
      <c r="B14" s="337">
        <f t="shared" si="2"/>
        <v>1980</v>
      </c>
      <c r="D14" s="344">
        <v>0.14230000000000001</v>
      </c>
      <c r="F14" s="344">
        <v>0.13150000000000001</v>
      </c>
      <c r="H14" s="344">
        <f t="shared" si="0"/>
        <v>1.0800000000000004E-2</v>
      </c>
      <c r="K14" s="337">
        <f t="shared" si="3"/>
        <v>2006</v>
      </c>
      <c r="M14" s="344">
        <v>0.10340000000000001</v>
      </c>
      <c r="O14" s="344">
        <v>6.08E-2</v>
      </c>
      <c r="Q14" s="344">
        <f t="shared" si="1"/>
        <v>4.2600000000000006E-2</v>
      </c>
    </row>
    <row r="15" spans="1:18">
      <c r="B15" s="337">
        <f t="shared" si="2"/>
        <v>1981</v>
      </c>
      <c r="D15" s="344">
        <v>0.1522</v>
      </c>
      <c r="F15" s="344">
        <v>0.15620000000000001</v>
      </c>
      <c r="H15" s="344">
        <f t="shared" si="0"/>
        <v>-4.0000000000000036E-3</v>
      </c>
      <c r="K15" s="337">
        <f t="shared" si="3"/>
        <v>2007</v>
      </c>
      <c r="M15" s="344">
        <v>0.1032</v>
      </c>
      <c r="O15" s="344">
        <v>6.1100000000000002E-2</v>
      </c>
      <c r="Q15" s="344">
        <f t="shared" si="1"/>
        <v>4.2099999999999999E-2</v>
      </c>
    </row>
    <row r="16" spans="1:18">
      <c r="B16" s="337">
        <f t="shared" si="2"/>
        <v>1982</v>
      </c>
      <c r="D16" s="344">
        <v>0.1578</v>
      </c>
      <c r="F16" s="344">
        <v>0.15329999999999999</v>
      </c>
      <c r="H16" s="344">
        <f t="shared" si="0"/>
        <v>4.500000000000004E-3</v>
      </c>
      <c r="K16" s="337">
        <f t="shared" si="3"/>
        <v>2008</v>
      </c>
      <c r="M16" s="344">
        <v>0.1037</v>
      </c>
      <c r="O16" s="344">
        <v>6.6500000000000004E-2</v>
      </c>
      <c r="Q16" s="344">
        <f t="shared" si="1"/>
        <v>3.7199999999999997E-2</v>
      </c>
    </row>
    <row r="17" spans="2:18">
      <c r="B17" s="337">
        <f t="shared" si="2"/>
        <v>1983</v>
      </c>
      <c r="D17" s="344">
        <v>0.15359999999999999</v>
      </c>
      <c r="F17" s="344">
        <v>0.1331</v>
      </c>
      <c r="H17" s="344">
        <f t="shared" si="0"/>
        <v>2.049999999999999E-2</v>
      </c>
      <c r="K17" s="337">
        <f t="shared" si="3"/>
        <v>2009</v>
      </c>
      <c r="M17" s="344">
        <v>0.1052</v>
      </c>
      <c r="O17" s="344">
        <v>6.2799999999999995E-2</v>
      </c>
      <c r="Q17" s="344">
        <f t="shared" si="1"/>
        <v>4.2400000000000007E-2</v>
      </c>
    </row>
    <row r="18" spans="2:18">
      <c r="B18" s="337">
        <f t="shared" si="2"/>
        <v>1984</v>
      </c>
      <c r="D18" s="344">
        <v>0.1532</v>
      </c>
      <c r="F18" s="344">
        <v>0.14030000000000001</v>
      </c>
      <c r="H18" s="344">
        <f t="shared" si="0"/>
        <v>1.2899999999999995E-2</v>
      </c>
      <c r="K18" s="337">
        <f t="shared" si="3"/>
        <v>2010</v>
      </c>
      <c r="M18" s="344">
        <v>0.10290000000000001</v>
      </c>
      <c r="O18" s="344">
        <v>5.5599999999999997E-2</v>
      </c>
      <c r="Q18" s="344">
        <f t="shared" si="1"/>
        <v>4.7300000000000009E-2</v>
      </c>
    </row>
    <row r="19" spans="2:18">
      <c r="B19" s="337">
        <f t="shared" si="2"/>
        <v>1985</v>
      </c>
      <c r="D19" s="344">
        <v>0.152</v>
      </c>
      <c r="F19" s="344">
        <v>0.1229</v>
      </c>
      <c r="H19" s="344">
        <f t="shared" si="0"/>
        <v>2.9100000000000001E-2</v>
      </c>
      <c r="K19" s="337">
        <f t="shared" si="3"/>
        <v>2011</v>
      </c>
      <c r="M19" s="344">
        <v>0.1019</v>
      </c>
      <c r="O19" s="344">
        <v>5.1299999999999998E-2</v>
      </c>
      <c r="Q19" s="344">
        <f t="shared" si="1"/>
        <v>5.0600000000000006E-2</v>
      </c>
    </row>
    <row r="20" spans="2:18">
      <c r="B20" s="337">
        <f t="shared" si="2"/>
        <v>1986</v>
      </c>
      <c r="D20" s="344">
        <v>0.13930000000000001</v>
      </c>
      <c r="F20" s="344">
        <v>9.4600000000000004E-2</v>
      </c>
      <c r="H20" s="344">
        <f t="shared" si="0"/>
        <v>4.4700000000000004E-2</v>
      </c>
      <c r="K20" s="337">
        <f t="shared" si="3"/>
        <v>2012</v>
      </c>
      <c r="M20" s="344">
        <v>0.1002</v>
      </c>
      <c r="O20" s="344">
        <v>4.2599999999999999E-2</v>
      </c>
      <c r="Q20" s="344">
        <f t="shared" si="1"/>
        <v>5.7599999999999998E-2</v>
      </c>
    </row>
    <row r="21" spans="2:18">
      <c r="B21" s="337">
        <f t="shared" si="2"/>
        <v>1987</v>
      </c>
      <c r="D21" s="344">
        <v>0.12989999999999999</v>
      </c>
      <c r="F21" s="344">
        <v>9.98E-2</v>
      </c>
      <c r="H21" s="344">
        <f t="shared" si="0"/>
        <v>3.0099999999999988E-2</v>
      </c>
      <c r="K21" s="337">
        <f t="shared" si="3"/>
        <v>2013</v>
      </c>
      <c r="M21" s="344">
        <v>9.8199999999999996E-2</v>
      </c>
      <c r="O21" s="344">
        <v>4.5499999999999999E-2</v>
      </c>
      <c r="Q21" s="344">
        <f t="shared" si="1"/>
        <v>5.2699999999999997E-2</v>
      </c>
    </row>
    <row r="22" spans="2:18">
      <c r="B22" s="337">
        <f t="shared" si="2"/>
        <v>1988</v>
      </c>
      <c r="D22" s="344">
        <v>0.12790000000000001</v>
      </c>
      <c r="F22" s="344">
        <v>0.1045</v>
      </c>
      <c r="H22" s="344">
        <f t="shared" si="0"/>
        <v>2.3400000000000018E-2</v>
      </c>
      <c r="K22" s="337">
        <f t="shared" si="3"/>
        <v>2014</v>
      </c>
      <c r="M22" s="344">
        <v>9.7600000000000006E-2</v>
      </c>
      <c r="O22" s="344">
        <v>4.41E-2</v>
      </c>
      <c r="Q22" s="344">
        <f t="shared" si="1"/>
        <v>5.3500000000000006E-2</v>
      </c>
    </row>
    <row r="23" spans="2:18">
      <c r="B23" s="337">
        <f t="shared" si="2"/>
        <v>1989</v>
      </c>
      <c r="D23" s="344">
        <v>0.12970000000000001</v>
      </c>
      <c r="F23" s="344">
        <v>9.6600000000000005E-2</v>
      </c>
      <c r="H23" s="344">
        <f t="shared" si="0"/>
        <v>3.3100000000000004E-2</v>
      </c>
      <c r="K23" s="337">
        <f t="shared" si="3"/>
        <v>2015</v>
      </c>
      <c r="M23" s="344">
        <v>9.6000000000000002E-2</v>
      </c>
      <c r="O23" s="344">
        <v>4.3700000000000003E-2</v>
      </c>
      <c r="Q23" s="344">
        <f t="shared" si="1"/>
        <v>5.2299999999999999E-2</v>
      </c>
    </row>
    <row r="24" spans="2:18">
      <c r="B24" s="337">
        <f t="shared" si="2"/>
        <v>1990</v>
      </c>
      <c r="D24" s="344">
        <v>0.127</v>
      </c>
      <c r="F24" s="344">
        <v>9.7600000000000006E-2</v>
      </c>
      <c r="H24" s="344">
        <f t="shared" si="0"/>
        <v>2.9399999999999996E-2</v>
      </c>
      <c r="K24" s="337">
        <f t="shared" si="3"/>
        <v>2016</v>
      </c>
      <c r="M24" s="344">
        <v>9.6000000000000002E-2</v>
      </c>
      <c r="O24" s="344">
        <v>4.1099999999999998E-2</v>
      </c>
      <c r="Q24" s="344">
        <f t="shared" si="1"/>
        <v>5.4900000000000004E-2</v>
      </c>
    </row>
    <row r="25" spans="2:18">
      <c r="B25" s="337">
        <f t="shared" si="2"/>
        <v>1991</v>
      </c>
      <c r="D25" s="344">
        <v>0.12540000000000001</v>
      </c>
      <c r="F25" s="344">
        <v>9.2100000000000001E-2</v>
      </c>
      <c r="H25" s="344">
        <f t="shared" si="0"/>
        <v>3.330000000000001E-2</v>
      </c>
      <c r="K25" s="337">
        <f t="shared" si="3"/>
        <v>2017</v>
      </c>
      <c r="M25" s="344">
        <v>9.6799999999999997E-2</v>
      </c>
      <c r="O25" s="344">
        <v>4.07E-2</v>
      </c>
      <c r="Q25" s="344">
        <f t="shared" si="1"/>
        <v>5.6099999999999997E-2</v>
      </c>
    </row>
    <row r="26" spans="2:18">
      <c r="B26" s="337">
        <f t="shared" si="2"/>
        <v>1992</v>
      </c>
      <c r="D26" s="344">
        <v>0.12089999999999999</v>
      </c>
      <c r="F26" s="344">
        <v>8.5699999999999998E-2</v>
      </c>
      <c r="H26" s="344">
        <f t="shared" si="0"/>
        <v>3.5199999999999995E-2</v>
      </c>
      <c r="K26" s="337">
        <f t="shared" si="3"/>
        <v>2018</v>
      </c>
      <c r="M26" s="344">
        <v>9.5600000000000004E-2</v>
      </c>
      <c r="O26" s="344">
        <v>4.3400000000000001E-2</v>
      </c>
      <c r="Q26" s="344">
        <f t="shared" si="1"/>
        <v>5.2200000000000003E-2</v>
      </c>
    </row>
    <row r="27" spans="2:18">
      <c r="B27" s="337">
        <f t="shared" si="2"/>
        <v>1993</v>
      </c>
      <c r="D27" s="344">
        <v>0.11459999999999999</v>
      </c>
      <c r="F27" s="344">
        <v>7.5600000000000001E-2</v>
      </c>
      <c r="H27" s="344">
        <f t="shared" si="0"/>
        <v>3.8999999999999993E-2</v>
      </c>
      <c r="K27" s="337">
        <f t="shared" si="3"/>
        <v>2019</v>
      </c>
      <c r="M27" s="344">
        <v>9.6500000000000002E-2</v>
      </c>
      <c r="O27" s="344">
        <v>3.8600000000000002E-2</v>
      </c>
      <c r="Q27" s="344">
        <f t="shared" si="1"/>
        <v>5.79E-2</v>
      </c>
    </row>
    <row r="28" spans="2:18">
      <c r="B28" s="337">
        <f t="shared" si="2"/>
        <v>1994</v>
      </c>
      <c r="D28" s="344">
        <v>0.11210000000000001</v>
      </c>
      <c r="F28" s="344">
        <v>8.3000000000000004E-2</v>
      </c>
      <c r="H28" s="344">
        <f t="shared" si="0"/>
        <v>2.9100000000000001E-2</v>
      </c>
      <c r="K28" s="337">
        <f t="shared" si="3"/>
        <v>2020</v>
      </c>
      <c r="M28" s="344">
        <v>9.3899999999999997E-2</v>
      </c>
      <c r="O28" s="344">
        <v>3.0700000000000002E-2</v>
      </c>
      <c r="Q28" s="344">
        <f t="shared" si="1"/>
        <v>6.3199999999999992E-2</v>
      </c>
    </row>
    <row r="29" spans="2:18">
      <c r="B29" s="337">
        <f t="shared" si="2"/>
        <v>1995</v>
      </c>
      <c r="D29" s="344">
        <v>0.1158</v>
      </c>
      <c r="F29" s="344">
        <v>7.9100000000000004E-2</v>
      </c>
      <c r="H29" s="344">
        <f t="shared" si="0"/>
        <v>3.6699999999999997E-2</v>
      </c>
      <c r="K29" s="337">
        <f t="shared" si="3"/>
        <v>2021</v>
      </c>
      <c r="M29" s="344">
        <v>9.3899999999999997E-2</v>
      </c>
      <c r="O29" s="344">
        <v>3.1399999999999997E-2</v>
      </c>
      <c r="Q29" s="344">
        <f t="shared" si="1"/>
        <v>6.25E-2</v>
      </c>
      <c r="R29" s="57"/>
    </row>
    <row r="30" spans="2:18">
      <c r="B30" s="337">
        <f t="shared" si="2"/>
        <v>1996</v>
      </c>
      <c r="D30" s="344">
        <v>0.114</v>
      </c>
      <c r="F30" s="344">
        <v>7.7399999999999997E-2</v>
      </c>
      <c r="H30" s="344">
        <f t="shared" si="0"/>
        <v>3.6600000000000008E-2</v>
      </c>
      <c r="K30" s="337">
        <f t="shared" si="3"/>
        <v>2022</v>
      </c>
      <c r="M30" s="344">
        <v>9.5799999999999996E-2</v>
      </c>
      <c r="O30" s="344">
        <v>4.7600000000000003E-2</v>
      </c>
      <c r="Q30" s="344">
        <f t="shared" si="1"/>
        <v>4.8199999999999993E-2</v>
      </c>
    </row>
    <row r="31" spans="2:18" ht="15.65" customHeight="1">
      <c r="B31" s="337">
        <f t="shared" si="2"/>
        <v>1997</v>
      </c>
      <c r="D31" s="344">
        <v>0.1133</v>
      </c>
      <c r="F31" s="344">
        <v>7.6300000000000007E-2</v>
      </c>
      <c r="H31" s="344">
        <f t="shared" si="0"/>
        <v>3.6999999999999991E-2</v>
      </c>
      <c r="K31" s="337">
        <f t="shared" si="3"/>
        <v>2023</v>
      </c>
      <c r="M31" s="344">
        <v>9.6600000000000005E-2</v>
      </c>
      <c r="O31" s="344">
        <v>5.6000000000000001E-2</v>
      </c>
      <c r="Q31" s="344">
        <f t="shared" si="1"/>
        <v>4.0600000000000004E-2</v>
      </c>
      <c r="R31" s="345"/>
    </row>
    <row r="32" spans="2:18" ht="15.65" customHeight="1">
      <c r="B32" s="337">
        <f t="shared" si="2"/>
        <v>1998</v>
      </c>
      <c r="D32" s="344">
        <v>0.1177</v>
      </c>
      <c r="F32" s="344">
        <v>7.0000000000000007E-2</v>
      </c>
      <c r="H32" s="344">
        <f>D32-F32</f>
        <v>4.7699999999999992E-2</v>
      </c>
      <c r="K32" s="337">
        <f t="shared" si="3"/>
        <v>2024</v>
      </c>
      <c r="M32" s="346">
        <v>9.7799999999999998E-2</v>
      </c>
      <c r="O32" s="346">
        <v>5.57E-2</v>
      </c>
      <c r="Q32" s="346">
        <f t="shared" si="1"/>
        <v>4.2099999999999999E-2</v>
      </c>
      <c r="R32" s="345"/>
    </row>
    <row r="33" spans="1:22">
      <c r="B33" s="337">
        <f t="shared" si="2"/>
        <v>1999</v>
      </c>
      <c r="D33" s="344">
        <v>0.1072</v>
      </c>
      <c r="F33" s="344">
        <v>7.5499999999999998E-2</v>
      </c>
      <c r="H33" s="344">
        <f t="shared" ref="H33" si="4">D33-F33</f>
        <v>3.1700000000000006E-2</v>
      </c>
      <c r="K33" s="333" t="s">
        <v>47</v>
      </c>
      <c r="M33" s="347">
        <f>AVERAGE(D8:D33,M8:M32)</f>
        <v>0.1164019607843137</v>
      </c>
      <c r="N33" s="334"/>
      <c r="O33" s="347">
        <f>AVERAGE(F8:F33,O8:O32)</f>
        <v>7.7403921568627465E-2</v>
      </c>
      <c r="P33" s="348"/>
      <c r="Q33" s="347">
        <f>AVERAGE(H8:H33,Q8:Q32)</f>
        <v>3.899803921568628E-2</v>
      </c>
      <c r="R33" s="345"/>
    </row>
    <row r="34" spans="1:22">
      <c r="B34" s="337"/>
      <c r="D34" s="349"/>
      <c r="F34" s="350"/>
      <c r="H34" s="350"/>
      <c r="R34" s="345"/>
    </row>
    <row r="35" spans="1:22">
      <c r="R35" s="345"/>
    </row>
    <row r="36" spans="1:22" s="351" customFormat="1" ht="13">
      <c r="A36" s="351" t="s">
        <v>21</v>
      </c>
      <c r="B36" s="1459" t="s">
        <v>1460</v>
      </c>
      <c r="C36" s="1459"/>
      <c r="D36" s="1459"/>
      <c r="E36" s="1459"/>
      <c r="F36" s="1459"/>
      <c r="G36" s="1459"/>
      <c r="H36" s="1459"/>
      <c r="I36" s="1459"/>
      <c r="J36" s="1459"/>
      <c r="K36" s="1459"/>
      <c r="L36" s="1459"/>
      <c r="M36" s="1459"/>
      <c r="N36" s="1459"/>
      <c r="O36" s="1459"/>
      <c r="P36" s="1459"/>
      <c r="Q36" s="1459"/>
      <c r="R36" s="1459"/>
    </row>
    <row r="37" spans="1:22" s="351" customFormat="1" ht="13">
      <c r="B37" s="1459"/>
      <c r="C37" s="1459"/>
      <c r="D37" s="1459"/>
      <c r="E37" s="1459"/>
      <c r="F37" s="1459"/>
      <c r="G37" s="1459"/>
      <c r="H37" s="1459"/>
      <c r="I37" s="1459"/>
      <c r="J37" s="1459"/>
      <c r="K37" s="1459"/>
      <c r="L37" s="1459"/>
      <c r="M37" s="1459"/>
      <c r="N37" s="1459"/>
      <c r="O37" s="1459"/>
      <c r="P37" s="1459"/>
      <c r="Q37" s="1459"/>
      <c r="R37" s="1459"/>
    </row>
    <row r="38" spans="1:22" s="351" customFormat="1" ht="13">
      <c r="A38" s="352" t="s">
        <v>22</v>
      </c>
      <c r="B38" s="352" t="s">
        <v>315</v>
      </c>
      <c r="K38" s="353"/>
      <c r="M38" s="354"/>
      <c r="O38" s="355"/>
      <c r="Q38" s="355"/>
    </row>
    <row r="39" spans="1:22">
      <c r="K39" s="337"/>
      <c r="M39" s="349"/>
      <c r="O39" s="350"/>
      <c r="Q39" s="350"/>
      <c r="U39" s="337" t="s">
        <v>316</v>
      </c>
      <c r="V39" s="337" t="s">
        <v>317</v>
      </c>
    </row>
    <row r="40" spans="1:22">
      <c r="K40" s="337"/>
      <c r="M40" s="349"/>
      <c r="O40" s="350"/>
      <c r="Q40" s="350"/>
      <c r="U40" s="337" t="s">
        <v>86</v>
      </c>
      <c r="V40" s="337" t="s">
        <v>85</v>
      </c>
    </row>
    <row r="41" spans="1:22">
      <c r="K41" s="337"/>
      <c r="M41" s="349"/>
      <c r="O41" s="350"/>
      <c r="Q41" s="350"/>
    </row>
    <row r="42" spans="1:22">
      <c r="T42" s="332">
        <v>1974</v>
      </c>
      <c r="U42" s="356">
        <v>9.2700000000000005E-2</v>
      </c>
      <c r="V42" s="356">
        <v>3.8300000000000001E-2</v>
      </c>
    </row>
    <row r="43" spans="1:22">
      <c r="T43" s="332">
        <v>1975</v>
      </c>
      <c r="U43" s="356">
        <v>9.8799999999999999E-2</v>
      </c>
      <c r="V43" s="356">
        <v>3.3200000000000007E-2</v>
      </c>
    </row>
    <row r="44" spans="1:22">
      <c r="T44" s="332">
        <v>1976</v>
      </c>
      <c r="U44" s="356">
        <v>9.1700000000000004E-2</v>
      </c>
      <c r="V44" s="356">
        <v>3.9300000000000002E-2</v>
      </c>
    </row>
    <row r="45" spans="1:22">
      <c r="T45" s="332">
        <v>1977</v>
      </c>
      <c r="U45" s="356">
        <v>8.5800000000000001E-2</v>
      </c>
      <c r="V45" s="356">
        <v>4.7200000000000006E-2</v>
      </c>
    </row>
    <row r="46" spans="1:22">
      <c r="T46" s="332">
        <v>1978</v>
      </c>
      <c r="U46" s="356">
        <v>9.2200000000000004E-2</v>
      </c>
      <c r="V46" s="356">
        <v>3.9800000000000002E-2</v>
      </c>
    </row>
    <row r="47" spans="1:22">
      <c r="T47" s="332">
        <v>1979</v>
      </c>
      <c r="U47" s="356">
        <v>0.10390000000000001</v>
      </c>
      <c r="V47" s="356">
        <v>3.1100000000000003E-2</v>
      </c>
    </row>
    <row r="48" spans="1:22">
      <c r="T48" s="332">
        <v>1980</v>
      </c>
      <c r="U48" s="356">
        <v>0.13150000000000001</v>
      </c>
      <c r="V48" s="356">
        <v>1.0800000000000004E-2</v>
      </c>
    </row>
    <row r="49" spans="20:22">
      <c r="T49" s="332">
        <v>1981</v>
      </c>
      <c r="U49" s="356">
        <v>0.15620000000000001</v>
      </c>
      <c r="V49" s="356">
        <v>-4.0000000000000036E-3</v>
      </c>
    </row>
    <row r="50" spans="20:22">
      <c r="T50" s="332">
        <v>1982</v>
      </c>
      <c r="U50" s="356">
        <v>0.15329999999999999</v>
      </c>
      <c r="V50" s="356">
        <v>4.500000000000004E-3</v>
      </c>
    </row>
    <row r="51" spans="20:22">
      <c r="T51" s="332">
        <v>1983</v>
      </c>
      <c r="U51" s="356">
        <v>0.1331</v>
      </c>
      <c r="V51" s="356">
        <v>2.049999999999999E-2</v>
      </c>
    </row>
    <row r="52" spans="20:22">
      <c r="T52" s="332">
        <v>1984</v>
      </c>
      <c r="U52" s="356">
        <v>0.14030000000000001</v>
      </c>
      <c r="V52" s="356">
        <v>1.2899999999999995E-2</v>
      </c>
    </row>
    <row r="53" spans="20:22">
      <c r="T53" s="332">
        <v>1985</v>
      </c>
      <c r="U53" s="356">
        <v>0.1229</v>
      </c>
      <c r="V53" s="356">
        <v>2.9100000000000001E-2</v>
      </c>
    </row>
    <row r="54" spans="20:22">
      <c r="T54" s="332">
        <v>1986</v>
      </c>
      <c r="U54" s="356">
        <v>9.4600000000000004E-2</v>
      </c>
      <c r="V54" s="356">
        <v>4.4700000000000004E-2</v>
      </c>
    </row>
    <row r="55" spans="20:22">
      <c r="T55" s="332">
        <v>1987</v>
      </c>
      <c r="U55" s="356">
        <v>9.98E-2</v>
      </c>
      <c r="V55" s="356">
        <v>3.0099999999999988E-2</v>
      </c>
    </row>
    <row r="56" spans="20:22">
      <c r="T56" s="332">
        <v>1988</v>
      </c>
      <c r="U56" s="356">
        <v>0.1045</v>
      </c>
      <c r="V56" s="356">
        <v>2.3400000000000018E-2</v>
      </c>
    </row>
    <row r="57" spans="20:22">
      <c r="T57" s="332">
        <v>1989</v>
      </c>
      <c r="U57" s="356">
        <v>9.6600000000000005E-2</v>
      </c>
      <c r="V57" s="356">
        <v>3.3100000000000004E-2</v>
      </c>
    </row>
    <row r="58" spans="20:22">
      <c r="T58" s="332">
        <v>1990</v>
      </c>
      <c r="U58" s="356">
        <v>9.7600000000000006E-2</v>
      </c>
      <c r="V58" s="356">
        <v>2.9399999999999996E-2</v>
      </c>
    </row>
    <row r="59" spans="20:22">
      <c r="T59" s="332">
        <v>1991</v>
      </c>
      <c r="U59" s="356">
        <v>9.2100000000000001E-2</v>
      </c>
      <c r="V59" s="356">
        <v>3.330000000000001E-2</v>
      </c>
    </row>
    <row r="60" spans="20:22">
      <c r="T60" s="332">
        <v>1992</v>
      </c>
      <c r="U60" s="356">
        <v>8.5699999999999998E-2</v>
      </c>
      <c r="V60" s="356">
        <v>3.5199999999999995E-2</v>
      </c>
    </row>
    <row r="61" spans="20:22">
      <c r="T61" s="332">
        <v>1993</v>
      </c>
      <c r="U61" s="356">
        <v>7.5600000000000001E-2</v>
      </c>
      <c r="V61" s="356">
        <v>3.8999999999999993E-2</v>
      </c>
    </row>
    <row r="62" spans="20:22">
      <c r="T62" s="332">
        <v>1994</v>
      </c>
      <c r="U62" s="356">
        <v>8.3000000000000004E-2</v>
      </c>
      <c r="V62" s="356">
        <v>2.9100000000000001E-2</v>
      </c>
    </row>
    <row r="63" spans="20:22">
      <c r="T63" s="332">
        <v>1995</v>
      </c>
      <c r="U63" s="356">
        <v>7.9100000000000004E-2</v>
      </c>
      <c r="V63" s="356">
        <v>3.6699999999999997E-2</v>
      </c>
    </row>
    <row r="64" spans="20:22">
      <c r="T64" s="332">
        <v>1996</v>
      </c>
      <c r="U64" s="356">
        <v>7.7399999999999997E-2</v>
      </c>
      <c r="V64" s="356">
        <v>3.6600000000000008E-2</v>
      </c>
    </row>
    <row r="65" spans="20:22">
      <c r="T65" s="332">
        <v>1997</v>
      </c>
      <c r="U65" s="356">
        <v>7.6300000000000007E-2</v>
      </c>
      <c r="V65" s="356">
        <v>3.6999999999999991E-2</v>
      </c>
    </row>
    <row r="66" spans="20:22">
      <c r="T66" s="332">
        <v>1998</v>
      </c>
      <c r="U66" s="356">
        <v>7.0000000000000007E-2</v>
      </c>
      <c r="V66" s="356">
        <v>4.7699999999999992E-2</v>
      </c>
    </row>
    <row r="67" spans="20:22">
      <c r="T67" s="332">
        <v>1999</v>
      </c>
      <c r="U67" s="356">
        <v>7.5499999999999998E-2</v>
      </c>
      <c r="V67" s="356">
        <v>3.1700000000000006E-2</v>
      </c>
    </row>
    <row r="68" spans="20:22">
      <c r="T68" s="332">
        <v>2000</v>
      </c>
      <c r="U68" s="356">
        <v>8.09E-2</v>
      </c>
      <c r="V68" s="356">
        <v>3.49E-2</v>
      </c>
    </row>
    <row r="69" spans="20:22">
      <c r="T69" s="332">
        <v>2001</v>
      </c>
      <c r="U69" s="356">
        <v>7.7200000000000005E-2</v>
      </c>
      <c r="V69" s="356">
        <v>3.3500000000000002E-2</v>
      </c>
    </row>
    <row r="70" spans="20:22">
      <c r="T70" s="332">
        <v>2002</v>
      </c>
      <c r="U70" s="356">
        <v>7.5300000000000006E-2</v>
      </c>
      <c r="V70" s="356">
        <v>3.6799999999999999E-2</v>
      </c>
    </row>
    <row r="71" spans="20:22">
      <c r="T71" s="332">
        <v>2003</v>
      </c>
      <c r="U71" s="356">
        <v>6.6100000000000006E-2</v>
      </c>
      <c r="V71" s="356">
        <v>4.3499999999999997E-2</v>
      </c>
    </row>
    <row r="72" spans="20:22">
      <c r="T72" s="332">
        <v>2004</v>
      </c>
      <c r="U72" s="356">
        <v>6.2E-2</v>
      </c>
      <c r="V72" s="356">
        <v>4.6100000000000002E-2</v>
      </c>
    </row>
    <row r="73" spans="20:22">
      <c r="T73" s="332">
        <v>2005</v>
      </c>
      <c r="U73" s="356">
        <v>5.67E-2</v>
      </c>
      <c r="V73" s="356">
        <v>4.8399999999999999E-2</v>
      </c>
    </row>
    <row r="74" spans="20:22">
      <c r="T74" s="332">
        <v>2006</v>
      </c>
      <c r="U74" s="356">
        <v>6.08E-2</v>
      </c>
      <c r="V74" s="356">
        <v>4.2600000000000006E-2</v>
      </c>
    </row>
    <row r="75" spans="20:22">
      <c r="T75" s="332">
        <v>2007</v>
      </c>
      <c r="U75" s="356">
        <v>6.1100000000000002E-2</v>
      </c>
      <c r="V75" s="356">
        <v>4.2099999999999999E-2</v>
      </c>
    </row>
    <row r="76" spans="20:22">
      <c r="T76" s="332">
        <v>2008</v>
      </c>
      <c r="U76" s="356">
        <v>6.6500000000000004E-2</v>
      </c>
      <c r="V76" s="356">
        <v>3.7199999999999997E-2</v>
      </c>
    </row>
    <row r="77" spans="20:22">
      <c r="T77" s="332">
        <v>2009</v>
      </c>
      <c r="U77" s="356">
        <v>6.2799999999999995E-2</v>
      </c>
      <c r="V77" s="356">
        <v>4.2400000000000007E-2</v>
      </c>
    </row>
    <row r="78" spans="20:22">
      <c r="T78" s="332">
        <v>2010</v>
      </c>
      <c r="U78" s="356">
        <v>5.5599999999999997E-2</v>
      </c>
      <c r="V78" s="356">
        <v>4.7300000000000009E-2</v>
      </c>
    </row>
    <row r="79" spans="20:22">
      <c r="T79" s="332">
        <v>2011</v>
      </c>
      <c r="U79" s="356">
        <v>5.1299999999999998E-2</v>
      </c>
      <c r="V79" s="356">
        <v>5.0600000000000006E-2</v>
      </c>
    </row>
    <row r="80" spans="20:22">
      <c r="T80" s="332">
        <v>2012</v>
      </c>
      <c r="U80" s="356">
        <v>4.2599999999999999E-2</v>
      </c>
      <c r="V80" s="356">
        <v>5.7599999999999998E-2</v>
      </c>
    </row>
    <row r="81" spans="20:22">
      <c r="T81" s="332">
        <v>2013</v>
      </c>
      <c r="U81" s="356">
        <v>4.5499999999999999E-2</v>
      </c>
      <c r="V81" s="356">
        <v>5.2699999999999997E-2</v>
      </c>
    </row>
    <row r="82" spans="20:22">
      <c r="T82" s="332">
        <v>2014</v>
      </c>
      <c r="U82" s="356">
        <v>4.41E-2</v>
      </c>
      <c r="V82" s="356">
        <v>5.3500000000000006E-2</v>
      </c>
    </row>
    <row r="83" spans="20:22">
      <c r="T83" s="332">
        <v>2015</v>
      </c>
      <c r="U83" s="356">
        <v>4.3700000000000003E-2</v>
      </c>
      <c r="V83" s="356">
        <v>5.2299999999999999E-2</v>
      </c>
    </row>
    <row r="84" spans="20:22">
      <c r="T84" s="332">
        <v>2016</v>
      </c>
      <c r="U84" s="356">
        <v>4.1099999999999998E-2</v>
      </c>
      <c r="V84" s="356">
        <v>5.4900000000000004E-2</v>
      </c>
    </row>
    <row r="85" spans="20:22">
      <c r="T85" s="332">
        <v>2017</v>
      </c>
      <c r="U85" s="356">
        <v>4.07E-2</v>
      </c>
      <c r="V85" s="356">
        <v>5.6099999999999997E-2</v>
      </c>
    </row>
    <row r="86" spans="20:22">
      <c r="T86" s="332">
        <v>2018</v>
      </c>
      <c r="U86" s="356">
        <v>4.3400000000000001E-2</v>
      </c>
      <c r="V86" s="356">
        <v>5.2200000000000003E-2</v>
      </c>
    </row>
    <row r="87" spans="20:22">
      <c r="T87" s="332">
        <v>2019</v>
      </c>
      <c r="U87" s="356">
        <v>3.8600000000000002E-2</v>
      </c>
      <c r="V87" s="356">
        <v>5.79E-2</v>
      </c>
    </row>
    <row r="88" spans="20:22">
      <c r="T88" s="332">
        <v>2020</v>
      </c>
      <c r="U88" s="356">
        <v>3.0700000000000002E-2</v>
      </c>
      <c r="V88" s="356">
        <v>6.3199999999999992E-2</v>
      </c>
    </row>
    <row r="89" spans="20:22">
      <c r="T89" s="332">
        <v>2021</v>
      </c>
      <c r="U89" s="356">
        <v>3.1399999999999997E-2</v>
      </c>
      <c r="V89" s="356">
        <v>6.25E-2</v>
      </c>
    </row>
    <row r="90" spans="20:22">
      <c r="T90" s="332">
        <v>2022</v>
      </c>
      <c r="U90" s="356">
        <v>4.7600000000000003E-2</v>
      </c>
      <c r="V90" s="356">
        <v>4.82E-2</v>
      </c>
    </row>
    <row r="91" spans="20:22">
      <c r="T91" s="1">
        <v>2023</v>
      </c>
      <c r="U91" s="112">
        <v>5.6000000000000001E-2</v>
      </c>
      <c r="V91" s="112">
        <v>4.0599999999999997E-2</v>
      </c>
    </row>
    <row r="92" spans="20:22">
      <c r="T92" s="4">
        <v>2024</v>
      </c>
      <c r="U92" s="114">
        <v>5.57E-2</v>
      </c>
      <c r="V92" s="114">
        <v>4.2099999999999999E-2</v>
      </c>
    </row>
  </sheetData>
  <mergeCells count="1">
    <mergeCell ref="B36:R37"/>
  </mergeCells>
  <printOptions horizontalCentered="1"/>
  <pageMargins left="0.5" right="0.5" top="0.75" bottom="0.25" header="0.5" footer="0.5"/>
  <pageSetup scale="91"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pageSetUpPr fitToPage="1"/>
  </sheetPr>
  <dimension ref="A1:I45"/>
  <sheetViews>
    <sheetView view="pageBreakPreview" zoomScaleNormal="100" zoomScaleSheetLayoutView="100" workbookViewId="0"/>
  </sheetViews>
  <sheetFormatPr defaultColWidth="9.26953125" defaultRowHeight="15.5"/>
  <cols>
    <col min="1" max="1" width="17.453125" style="1" customWidth="1"/>
    <col min="2" max="2" width="10.54296875" style="1" bestFit="1" customWidth="1"/>
    <col min="3" max="3" width="13.453125" style="1" bestFit="1" customWidth="1"/>
    <col min="4" max="5" width="12.26953125" style="1" bestFit="1" customWidth="1"/>
    <col min="6" max="6" width="12.54296875" style="1" bestFit="1" customWidth="1"/>
    <col min="7" max="7" width="10.7265625" style="1" bestFit="1" customWidth="1"/>
    <col min="8" max="8" width="11.7265625" style="1" bestFit="1" customWidth="1"/>
    <col min="9" max="9" width="11.7265625" style="1" customWidth="1"/>
    <col min="10" max="16384" width="9.26953125" style="1"/>
  </cols>
  <sheetData>
    <row r="1" spans="1:9">
      <c r="A1" s="2" t="str">
        <f>'Exhibit List'!C16</f>
        <v>UTILITY RISK PREMIUM</v>
      </c>
      <c r="I1" s="63" t="str">
        <f>'Exhibit List'!B16</f>
        <v>Exhibit AMM-9</v>
      </c>
    </row>
    <row r="2" spans="1:9">
      <c r="B2" s="91"/>
      <c r="I2" s="63" t="s">
        <v>251</v>
      </c>
    </row>
    <row r="3" spans="1:9">
      <c r="A3" s="3" t="str">
        <f>'Exhibit List'!D16</f>
        <v>REGRESSION RESULTS</v>
      </c>
    </row>
    <row r="4" spans="1:9">
      <c r="A4" s="3"/>
    </row>
    <row r="5" spans="1:9">
      <c r="A5" s="3"/>
    </row>
    <row r="28" spans="1:2">
      <c r="A28" s="1" t="s">
        <v>318</v>
      </c>
    </row>
    <row r="29" spans="1:2" ht="16" thickBot="1"/>
    <row r="30" spans="1:2">
      <c r="A30" s="1460" t="s">
        <v>319</v>
      </c>
      <c r="B30" s="1460"/>
    </row>
    <row r="31" spans="1:2">
      <c r="A31" s="1" t="s">
        <v>320</v>
      </c>
      <c r="B31" s="1">
        <v>0.93661326274588497</v>
      </c>
    </row>
    <row r="32" spans="1:2">
      <c r="A32" s="1" t="s">
        <v>321</v>
      </c>
      <c r="B32" s="1">
        <v>0.87724440395149206</v>
      </c>
    </row>
    <row r="33" spans="1:9">
      <c r="A33" s="1" t="s">
        <v>322</v>
      </c>
      <c r="B33" s="1">
        <v>0.8747391877056041</v>
      </c>
    </row>
    <row r="34" spans="1:9">
      <c r="A34" s="1" t="s">
        <v>323</v>
      </c>
      <c r="B34" s="1">
        <v>4.8977925633053214E-3</v>
      </c>
    </row>
    <row r="35" spans="1:9" ht="16" thickBot="1">
      <c r="A35" s="328" t="s">
        <v>324</v>
      </c>
      <c r="B35" s="328">
        <v>51</v>
      </c>
    </row>
    <row r="37" spans="1:9" s="12" customFormat="1" ht="16" thickBot="1">
      <c r="A37" s="1" t="s">
        <v>325</v>
      </c>
      <c r="B37" s="1"/>
      <c r="C37" s="1"/>
      <c r="D37" s="1"/>
      <c r="E37" s="1"/>
      <c r="F37" s="1"/>
      <c r="G37" s="1"/>
      <c r="H37" s="1"/>
      <c r="I37" s="1"/>
    </row>
    <row r="38" spans="1:9">
      <c r="A38" s="327"/>
      <c r="B38" s="327" t="s">
        <v>326</v>
      </c>
      <c r="C38" s="327" t="s">
        <v>327</v>
      </c>
      <c r="D38" s="327" t="s">
        <v>196</v>
      </c>
      <c r="E38" s="327" t="s">
        <v>328</v>
      </c>
      <c r="F38" s="327" t="s">
        <v>329</v>
      </c>
    </row>
    <row r="39" spans="1:9">
      <c r="A39" s="1" t="s">
        <v>330</v>
      </c>
      <c r="B39" s="1">
        <v>1</v>
      </c>
      <c r="C39" s="1">
        <v>8.399939576256293E-3</v>
      </c>
      <c r="D39" s="1">
        <v>8.399939576256293E-3</v>
      </c>
      <c r="E39" s="1">
        <v>350.16713842224539</v>
      </c>
      <c r="F39" s="329">
        <v>5.7995462363396442E-24</v>
      </c>
    </row>
    <row r="40" spans="1:9">
      <c r="A40" s="1" t="s">
        <v>331</v>
      </c>
      <c r="B40" s="1">
        <v>49</v>
      </c>
      <c r="C40" s="1">
        <v>1.1754302276652767E-3</v>
      </c>
      <c r="D40" s="329">
        <v>2.3988371993168912E-5</v>
      </c>
    </row>
    <row r="41" spans="1:9" ht="16" thickBot="1">
      <c r="A41" s="328" t="s">
        <v>1</v>
      </c>
      <c r="B41" s="328">
        <v>50</v>
      </c>
      <c r="C41" s="328">
        <v>9.5753698039215702E-3</v>
      </c>
      <c r="D41" s="328"/>
      <c r="E41" s="328"/>
      <c r="F41" s="328"/>
    </row>
    <row r="42" spans="1:9" s="12" customFormat="1" ht="16" thickBot="1">
      <c r="A42" s="1"/>
      <c r="B42" s="1"/>
      <c r="C42" s="1"/>
      <c r="D42" s="1"/>
      <c r="E42" s="1"/>
      <c r="F42" s="1"/>
      <c r="G42" s="1"/>
      <c r="H42" s="1"/>
      <c r="I42" s="1"/>
    </row>
    <row r="43" spans="1:9">
      <c r="A43" s="327"/>
      <c r="B43" s="327" t="s">
        <v>332</v>
      </c>
      <c r="C43" s="327" t="s">
        <v>323</v>
      </c>
      <c r="D43" s="327" t="s">
        <v>333</v>
      </c>
      <c r="E43" s="327" t="s">
        <v>334</v>
      </c>
      <c r="F43" s="327" t="s">
        <v>335</v>
      </c>
      <c r="G43" s="327" t="s">
        <v>336</v>
      </c>
      <c r="H43" s="327" t="s">
        <v>337</v>
      </c>
      <c r="I43" s="327" t="s">
        <v>338</v>
      </c>
    </row>
    <row r="44" spans="1:9">
      <c r="A44" s="1" t="s">
        <v>339</v>
      </c>
      <c r="B44" s="1">
        <v>7.159701875826277E-2</v>
      </c>
      <c r="C44" s="1">
        <v>1.8722120719796875E-3</v>
      </c>
      <c r="D44" s="1">
        <v>38.241938415959304</v>
      </c>
      <c r="E44" s="329">
        <v>3.7686285267894572E-38</v>
      </c>
      <c r="F44" s="1">
        <v>6.7834667739757964E-2</v>
      </c>
      <c r="G44" s="1">
        <v>7.5359369776767576E-2</v>
      </c>
      <c r="H44" s="1">
        <v>6.7834667739757964E-2</v>
      </c>
      <c r="I44" s="1">
        <v>7.5359369776767576E-2</v>
      </c>
    </row>
    <row r="45" spans="1:9" ht="16" thickBot="1">
      <c r="A45" s="328" t="s">
        <v>340</v>
      </c>
      <c r="B45" s="328">
        <v>-0.42115410798241998</v>
      </c>
      <c r="C45" s="328">
        <v>2.2506260827254213E-2</v>
      </c>
      <c r="D45" s="328">
        <v>-18.712753362940614</v>
      </c>
      <c r="E45" s="330">
        <v>5.7995462363396853E-24</v>
      </c>
      <c r="F45" s="328">
        <v>-0.46638213242124177</v>
      </c>
      <c r="G45" s="328">
        <v>-0.37592608354359797</v>
      </c>
      <c r="H45" s="328">
        <v>-0.46638213242124177</v>
      </c>
      <c r="I45" s="328">
        <v>-0.37592608354359797</v>
      </c>
    </row>
  </sheetData>
  <mergeCells count="1">
    <mergeCell ref="A30:B30"/>
  </mergeCells>
  <printOptions horizontalCentered="1"/>
  <pageMargins left="0.5" right="0.5" top="0.75" bottom="0.25" header="0.5" footer="0.5"/>
  <pageSetup scale="86"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7A506-9204-4D7F-AEC7-D53D5EF6B30C}">
  <sheetPr codeName="Sheet2"/>
  <dimension ref="A1:I41"/>
  <sheetViews>
    <sheetView workbookViewId="0"/>
  </sheetViews>
  <sheetFormatPr defaultColWidth="8.54296875" defaultRowHeight="15.5"/>
  <cols>
    <col min="1" max="1" width="25.54296875" style="4" customWidth="1"/>
    <col min="2" max="3" width="10.81640625" style="4" customWidth="1"/>
    <col min="4" max="4" width="9.453125" style="4" bestFit="1" customWidth="1"/>
    <col min="5" max="5" width="2.54296875" style="4" customWidth="1"/>
    <col min="6" max="16384" width="8.54296875" style="4"/>
  </cols>
  <sheetData>
    <row r="1" spans="1:5">
      <c r="A1" s="16"/>
      <c r="B1" s="718"/>
      <c r="C1" s="718"/>
      <c r="D1" s="16"/>
    </row>
    <row r="2" spans="1:5">
      <c r="A2" s="16"/>
      <c r="B2" s="718"/>
      <c r="C2" s="718" t="s">
        <v>1923</v>
      </c>
      <c r="D2" s="718" t="s">
        <v>54</v>
      </c>
      <c r="E2" s="16"/>
    </row>
    <row r="3" spans="1:5">
      <c r="A3" s="719" t="s">
        <v>55</v>
      </c>
      <c r="B3" s="720">
        <v>2021</v>
      </c>
      <c r="C3" s="720">
        <v>2025</v>
      </c>
      <c r="D3" s="720" t="s">
        <v>56</v>
      </c>
      <c r="E3" s="16"/>
    </row>
    <row r="4" spans="1:5" ht="19.399999999999999" customHeight="1">
      <c r="A4" s="16" t="s">
        <v>57</v>
      </c>
      <c r="B4" s="721">
        <f>ROUND(B33,4)</f>
        <v>1.44E-2</v>
      </c>
      <c r="C4" s="722">
        <f>ROUND('Bond Yields'!H12,4)</f>
        <v>4.3799999999999999E-2</v>
      </c>
      <c r="D4" s="723">
        <f>(C4-B4)*10000</f>
        <v>294</v>
      </c>
      <c r="E4" s="16"/>
    </row>
    <row r="5" spans="1:5" ht="6.65" customHeight="1">
      <c r="A5" s="16"/>
      <c r="B5" s="721"/>
      <c r="C5" s="724"/>
      <c r="D5" s="724"/>
      <c r="E5" s="16"/>
    </row>
    <row r="6" spans="1:5">
      <c r="A6" s="16" t="s">
        <v>58</v>
      </c>
      <c r="B6" s="721">
        <f>ROUND(C33,4)</f>
        <v>2.0500000000000001E-2</v>
      </c>
      <c r="C6" s="722">
        <f>ROUND('Bond Yields'!G12,4)</f>
        <v>4.8899999999999999E-2</v>
      </c>
      <c r="D6" s="723">
        <f>(C6-B6)*10000</f>
        <v>284</v>
      </c>
      <c r="E6" s="16"/>
    </row>
    <row r="7" spans="1:5" ht="6.65" customHeight="1">
      <c r="A7" s="16"/>
      <c r="B7" s="721"/>
      <c r="C7" s="724"/>
      <c r="D7" s="724"/>
      <c r="E7" s="16"/>
    </row>
    <row r="8" spans="1:5">
      <c r="A8" s="16" t="s">
        <v>59</v>
      </c>
      <c r="B8" s="721">
        <f>ROUND(D33,4)</f>
        <v>3.3500000000000002E-2</v>
      </c>
      <c r="C8" s="722">
        <f>ROUND('Bond Yields'!C12,4)</f>
        <v>6.13E-2</v>
      </c>
      <c r="D8" s="723">
        <f>(C8-B8)*10000</f>
        <v>278</v>
      </c>
      <c r="E8" s="16"/>
    </row>
    <row r="9" spans="1:5" ht="6.65" customHeight="1">
      <c r="A9" s="16"/>
      <c r="B9" s="721"/>
      <c r="C9" s="724"/>
      <c r="D9" s="724"/>
      <c r="E9" s="16"/>
    </row>
    <row r="10" spans="1:5">
      <c r="A10" s="16" t="s">
        <v>1550</v>
      </c>
      <c r="B10" s="721">
        <f>ROUND(I33,4)</f>
        <v>3.2500000000000001E-2</v>
      </c>
      <c r="C10" s="722">
        <v>7.4999999999999997E-2</v>
      </c>
      <c r="D10" s="723">
        <f>(C10-B10)*10000</f>
        <v>424.99999999999994</v>
      </c>
      <c r="E10" s="16"/>
    </row>
    <row r="11" spans="1:5" ht="6.65" customHeight="1">
      <c r="A11" s="16"/>
      <c r="B11" s="721"/>
      <c r="C11" s="724"/>
      <c r="D11" s="724"/>
      <c r="E11" s="16"/>
    </row>
    <row r="12" spans="1:5">
      <c r="A12" s="16" t="s">
        <v>1551</v>
      </c>
      <c r="B12" s="721">
        <f>ROUND(H33,4)</f>
        <v>1.2999999999999999E-3</v>
      </c>
      <c r="C12" s="722">
        <f>AVERAGE(4.25%,4.5%)</f>
        <v>4.3749999999999997E-2</v>
      </c>
      <c r="D12" s="723">
        <f>(C12-B12)*10000</f>
        <v>424.49999999999994</v>
      </c>
      <c r="E12" s="16"/>
    </row>
    <row r="13" spans="1:5">
      <c r="A13" s="16"/>
      <c r="B13" s="722"/>
      <c r="C13" s="721"/>
      <c r="D13" s="723"/>
      <c r="E13" s="16"/>
    </row>
    <row r="14" spans="1:5" s="8" customFormat="1">
      <c r="A14" s="725" t="s">
        <v>1552</v>
      </c>
      <c r="B14" s="725"/>
      <c r="C14" s="725"/>
      <c r="D14" s="725"/>
      <c r="E14" s="16"/>
    </row>
    <row r="15" spans="1:5">
      <c r="A15" s="16"/>
      <c r="B15" s="16"/>
      <c r="C15" s="16"/>
      <c r="D15" s="16"/>
    </row>
    <row r="16" spans="1:5" ht="15.65" customHeight="1"/>
    <row r="18" spans="1:9">
      <c r="D18" s="114"/>
      <c r="F18" s="4" t="s">
        <v>1553</v>
      </c>
      <c r="G18" s="4" t="s">
        <v>1553</v>
      </c>
      <c r="H18" s="4" t="s">
        <v>1553</v>
      </c>
    </row>
    <row r="19" spans="1:9">
      <c r="F19" s="4" t="s">
        <v>1554</v>
      </c>
      <c r="G19" s="4" t="s">
        <v>1554</v>
      </c>
      <c r="H19" s="4" t="s">
        <v>1554</v>
      </c>
    </row>
    <row r="20" spans="1:9">
      <c r="B20" s="4" t="s">
        <v>1555</v>
      </c>
      <c r="C20" s="4" t="s">
        <v>1556</v>
      </c>
      <c r="D20" s="4" t="s">
        <v>1225</v>
      </c>
      <c r="F20" s="4" t="s">
        <v>1557</v>
      </c>
      <c r="G20" s="4" t="s">
        <v>1558</v>
      </c>
      <c r="I20" s="4" t="s">
        <v>1559</v>
      </c>
    </row>
    <row r="21" spans="1:9">
      <c r="A21" s="157">
        <v>44197</v>
      </c>
      <c r="B21" s="606">
        <v>1.0800000000000001E-2</v>
      </c>
      <c r="C21" s="606">
        <v>1.8200000000000001E-2</v>
      </c>
      <c r="D21" s="606">
        <v>3.1800000000000002E-2</v>
      </c>
      <c r="F21" s="606">
        <v>0</v>
      </c>
      <c r="G21" s="606">
        <v>2.5000000000000001E-3</v>
      </c>
      <c r="H21" s="9">
        <f>AVERAGE(F21:G21)</f>
        <v>1.25E-3</v>
      </c>
      <c r="I21" s="9">
        <v>3.2500000000000001E-2</v>
      </c>
    </row>
    <row r="22" spans="1:9">
      <c r="A22" s="157">
        <v>44228</v>
      </c>
      <c r="B22" s="606">
        <v>1.26E-2</v>
      </c>
      <c r="C22" s="606">
        <v>2.0400000000000001E-2</v>
      </c>
      <c r="D22" s="606">
        <v>3.3700000000000001E-2</v>
      </c>
      <c r="F22" s="606">
        <v>0</v>
      </c>
      <c r="G22" s="606">
        <v>2.5000000000000001E-3</v>
      </c>
      <c r="H22" s="9">
        <f t="shared" ref="H22:H32" si="0">AVERAGE(F22:G22)</f>
        <v>1.25E-3</v>
      </c>
      <c r="I22" s="9">
        <v>3.2500000000000001E-2</v>
      </c>
    </row>
    <row r="23" spans="1:9">
      <c r="A23" s="157">
        <v>44256</v>
      </c>
      <c r="B23" s="606">
        <v>1.61E-2</v>
      </c>
      <c r="C23" s="606">
        <v>2.3400000000000001E-2</v>
      </c>
      <c r="D23" s="606">
        <v>3.7199999999999997E-2</v>
      </c>
      <c r="F23" s="606">
        <v>0</v>
      </c>
      <c r="G23" s="606">
        <v>2.5000000000000001E-3</v>
      </c>
      <c r="H23" s="9">
        <f t="shared" si="0"/>
        <v>1.25E-3</v>
      </c>
      <c r="I23" s="9">
        <v>3.2500000000000001E-2</v>
      </c>
    </row>
    <row r="24" spans="1:9">
      <c r="A24" s="157">
        <v>44287</v>
      </c>
      <c r="B24" s="606">
        <v>1.6400000000000001E-2</v>
      </c>
      <c r="C24" s="606">
        <v>2.3E-2</v>
      </c>
      <c r="D24" s="606">
        <v>3.5700000000000003E-2</v>
      </c>
      <c r="F24" s="606">
        <v>0</v>
      </c>
      <c r="G24" s="606">
        <v>2.5000000000000001E-3</v>
      </c>
      <c r="H24" s="9">
        <f t="shared" si="0"/>
        <v>1.25E-3</v>
      </c>
      <c r="I24" s="9">
        <v>3.2500000000000001E-2</v>
      </c>
    </row>
    <row r="25" spans="1:9">
      <c r="A25" s="157">
        <v>44317</v>
      </c>
      <c r="B25" s="606">
        <v>1.6199999999999999E-2</v>
      </c>
      <c r="C25" s="606">
        <v>2.3199999999999998E-2</v>
      </c>
      <c r="D25" s="606">
        <v>3.5799999999999998E-2</v>
      </c>
      <c r="F25" s="606">
        <v>0</v>
      </c>
      <c r="G25" s="606">
        <v>2.5000000000000001E-3</v>
      </c>
      <c r="H25" s="9">
        <f t="shared" si="0"/>
        <v>1.25E-3</v>
      </c>
      <c r="I25" s="9">
        <v>3.2500000000000001E-2</v>
      </c>
    </row>
    <row r="26" spans="1:9">
      <c r="A26" s="157">
        <v>44348</v>
      </c>
      <c r="B26" s="606">
        <v>1.52E-2</v>
      </c>
      <c r="C26" s="606">
        <v>2.1600000000000001E-2</v>
      </c>
      <c r="D26" s="606">
        <v>3.4099999999999998E-2</v>
      </c>
      <c r="F26" s="606">
        <v>0</v>
      </c>
      <c r="G26" s="606">
        <v>2.5000000000000001E-3</v>
      </c>
      <c r="H26" s="9">
        <f t="shared" si="0"/>
        <v>1.25E-3</v>
      </c>
      <c r="I26" s="9">
        <v>3.2500000000000001E-2</v>
      </c>
    </row>
    <row r="27" spans="1:9">
      <c r="A27" s="157">
        <v>44378</v>
      </c>
      <c r="B27" s="606">
        <v>1.32E-2</v>
      </c>
      <c r="C27" s="606">
        <v>1.9400000000000001E-2</v>
      </c>
      <c r="D27" s="606">
        <v>3.2000000000000001E-2</v>
      </c>
      <c r="F27" s="606">
        <v>0</v>
      </c>
      <c r="G27" s="606">
        <v>2.5000000000000001E-3</v>
      </c>
      <c r="H27" s="9">
        <f t="shared" si="0"/>
        <v>1.25E-3</v>
      </c>
      <c r="I27" s="9">
        <v>3.2500000000000001E-2</v>
      </c>
    </row>
    <row r="28" spans="1:9">
      <c r="A28" s="157">
        <v>44409</v>
      </c>
      <c r="B28" s="606">
        <v>1.2800000000000001E-2</v>
      </c>
      <c r="C28" s="606">
        <v>1.9199999999999998E-2</v>
      </c>
      <c r="D28" s="606">
        <v>3.1899999999999998E-2</v>
      </c>
      <c r="F28" s="606">
        <v>0</v>
      </c>
      <c r="G28" s="606">
        <v>2.5000000000000001E-3</v>
      </c>
      <c r="H28" s="9">
        <f t="shared" si="0"/>
        <v>1.25E-3</v>
      </c>
      <c r="I28" s="9">
        <v>3.2500000000000001E-2</v>
      </c>
    </row>
    <row r="29" spans="1:9">
      <c r="A29" s="157">
        <v>44440</v>
      </c>
      <c r="B29" s="606">
        <v>1.37E-2</v>
      </c>
      <c r="C29" s="606">
        <v>1.9400000000000001E-2</v>
      </c>
      <c r="D29" s="606">
        <v>3.1899999999999998E-2</v>
      </c>
      <c r="F29" s="606">
        <v>0</v>
      </c>
      <c r="G29" s="606">
        <v>2.5000000000000001E-3</v>
      </c>
      <c r="H29" s="9">
        <f t="shared" si="0"/>
        <v>1.25E-3</v>
      </c>
      <c r="I29" s="9">
        <v>3.2500000000000001E-2</v>
      </c>
    </row>
    <row r="30" spans="1:9">
      <c r="A30" s="157">
        <v>44470</v>
      </c>
      <c r="B30" s="606">
        <v>1.5800000000000002E-2</v>
      </c>
      <c r="C30" s="606">
        <v>2.06E-2</v>
      </c>
      <c r="D30" s="606">
        <v>3.32E-2</v>
      </c>
      <c r="F30" s="606">
        <v>0</v>
      </c>
      <c r="G30" s="606">
        <v>2.5000000000000001E-3</v>
      </c>
      <c r="H30" s="9">
        <f t="shared" si="0"/>
        <v>1.25E-3</v>
      </c>
      <c r="I30" s="9">
        <v>3.2500000000000001E-2</v>
      </c>
    </row>
    <row r="31" spans="1:9">
      <c r="A31" s="157">
        <v>44501</v>
      </c>
      <c r="B31" s="606">
        <v>1.5599999999999999E-2</v>
      </c>
      <c r="C31" s="606">
        <v>1.9400000000000001E-2</v>
      </c>
      <c r="D31" s="606">
        <v>3.2500000000000001E-2</v>
      </c>
      <c r="F31" s="606">
        <v>0</v>
      </c>
      <c r="G31" s="606">
        <v>2.5000000000000001E-3</v>
      </c>
      <c r="H31" s="9">
        <f t="shared" si="0"/>
        <v>1.25E-3</v>
      </c>
      <c r="I31" s="9">
        <v>3.2500000000000001E-2</v>
      </c>
    </row>
    <row r="32" spans="1:9">
      <c r="A32" s="157">
        <v>44531</v>
      </c>
      <c r="B32" s="606">
        <v>1.47E-2</v>
      </c>
      <c r="C32" s="606">
        <v>1.8499999999999999E-2</v>
      </c>
      <c r="D32" s="606">
        <v>3.27E-2</v>
      </c>
      <c r="F32" s="606">
        <v>0</v>
      </c>
      <c r="G32" s="606">
        <v>2.5000000000000001E-3</v>
      </c>
      <c r="H32" s="9">
        <f t="shared" si="0"/>
        <v>1.25E-3</v>
      </c>
      <c r="I32" s="9">
        <v>3.2500000000000001E-2</v>
      </c>
    </row>
    <row r="33" spans="1:9">
      <c r="A33" s="157"/>
      <c r="B33" s="726">
        <f>AVERAGE(B21:B32)</f>
        <v>1.4425E-2</v>
      </c>
      <c r="C33" s="726">
        <f>AVERAGE(C21:C32)</f>
        <v>2.0524999999999998E-2</v>
      </c>
      <c r="D33" s="726">
        <f>AVERAGE(D21:D32)</f>
        <v>3.3541666666666671E-2</v>
      </c>
      <c r="F33" s="180"/>
      <c r="G33" s="180"/>
      <c r="H33" s="726">
        <f>AVERAGE(H21:H32)</f>
        <v>1.2499999999999998E-3</v>
      </c>
      <c r="I33" s="726">
        <f>AVERAGE(I21:I32)</f>
        <v>3.2499999999999994E-2</v>
      </c>
    </row>
    <row r="34" spans="1:9">
      <c r="F34" s="180"/>
      <c r="G34" s="180"/>
      <c r="H34" s="180"/>
    </row>
    <row r="35" spans="1:9">
      <c r="A35" s="157">
        <v>45550</v>
      </c>
      <c r="B35" s="727"/>
      <c r="C35" s="727"/>
      <c r="D35" s="727"/>
      <c r="F35" s="606">
        <v>5.0500000000000003E-2</v>
      </c>
      <c r="G35" s="606">
        <v>5.2999999999999999E-2</v>
      </c>
      <c r="H35" s="9">
        <f t="shared" ref="H35:H40" si="1">AVERAGE(F35:G35)</f>
        <v>5.1750000000000004E-2</v>
      </c>
      <c r="I35" s="9">
        <v>8.3000000000000004E-2</v>
      </c>
    </row>
    <row r="36" spans="1:9">
      <c r="A36" s="157">
        <f t="shared" ref="A36:A40" si="2">A35+32</f>
        <v>45582</v>
      </c>
      <c r="B36" s="727"/>
      <c r="C36" s="727"/>
      <c r="D36" s="727"/>
      <c r="F36" s="606">
        <v>4.7500000000000001E-2</v>
      </c>
      <c r="G36" s="606">
        <v>0.05</v>
      </c>
      <c r="H36" s="9">
        <f t="shared" si="1"/>
        <v>4.8750000000000002E-2</v>
      </c>
      <c r="I36" s="9">
        <v>0.08</v>
      </c>
    </row>
    <row r="37" spans="1:9">
      <c r="A37" s="157">
        <f t="shared" si="2"/>
        <v>45614</v>
      </c>
      <c r="B37" s="727"/>
      <c r="C37" s="727"/>
      <c r="D37" s="727"/>
      <c r="F37" s="606">
        <v>4.5600000000000002E-2</v>
      </c>
      <c r="G37" s="606">
        <v>0.05</v>
      </c>
      <c r="H37" s="9">
        <f t="shared" si="1"/>
        <v>4.7800000000000002E-2</v>
      </c>
      <c r="I37" s="9">
        <v>7.8100000000000003E-2</v>
      </c>
    </row>
    <row r="38" spans="1:9">
      <c r="A38" s="157">
        <f t="shared" si="2"/>
        <v>45646</v>
      </c>
      <c r="B38" s="727"/>
      <c r="C38" s="727"/>
      <c r="D38" s="727"/>
      <c r="F38" s="606">
        <v>4.3999999999999997E-2</v>
      </c>
      <c r="G38" s="606">
        <v>4.65E-2</v>
      </c>
      <c r="H38" s="9">
        <f t="shared" si="1"/>
        <v>4.5249999999999999E-2</v>
      </c>
      <c r="I38" s="9">
        <v>7.6499999999999999E-2</v>
      </c>
    </row>
    <row r="39" spans="1:9">
      <c r="A39" s="157">
        <f t="shared" si="2"/>
        <v>45678</v>
      </c>
      <c r="B39" s="727"/>
      <c r="C39" s="727"/>
      <c r="D39" s="727"/>
      <c r="F39" s="606">
        <v>4.2500000000000003E-2</v>
      </c>
      <c r="G39" s="606">
        <v>4.4999999999999998E-2</v>
      </c>
      <c r="H39" s="9">
        <f t="shared" si="1"/>
        <v>4.3749999999999997E-2</v>
      </c>
      <c r="I39" s="9">
        <v>7.4999999999999997E-2</v>
      </c>
    </row>
    <row r="40" spans="1:9">
      <c r="A40" s="157">
        <f t="shared" si="2"/>
        <v>45710</v>
      </c>
      <c r="B40" s="727"/>
      <c r="C40" s="727"/>
      <c r="D40" s="727"/>
      <c r="F40" s="606">
        <v>4.2500000000000003E-2</v>
      </c>
      <c r="G40" s="606">
        <v>4.4999999999999998E-2</v>
      </c>
      <c r="H40" s="9">
        <f t="shared" si="1"/>
        <v>4.3749999999999997E-2</v>
      </c>
      <c r="I40" s="9">
        <v>7.4999999999999997E-2</v>
      </c>
    </row>
    <row r="41" spans="1:9">
      <c r="B41" s="726"/>
      <c r="C41" s="726"/>
      <c r="D41" s="726"/>
      <c r="H41" s="726">
        <f>AVERAGE(H35:H40)</f>
        <v>4.684166666666667E-2</v>
      </c>
      <c r="I41" s="726">
        <f>AVERAGE(I35:I40)</f>
        <v>7.7933333333333341E-2</v>
      </c>
    </row>
  </sheetData>
  <printOptions horizontalCentered="1"/>
  <pageMargins left="0.45" right="0.45" top="1" bottom="0.75" header="0.3" footer="0.3"/>
  <pageSetup orientation="landscape" horizontalDpi="4294967293"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8"/>
  <dimension ref="A1:N38"/>
  <sheetViews>
    <sheetView view="pageBreakPreview" zoomScaleNormal="100" workbookViewId="0"/>
  </sheetViews>
  <sheetFormatPr defaultColWidth="9.26953125" defaultRowHeight="15.5"/>
  <cols>
    <col min="1" max="1" width="3.7265625" style="19" customWidth="1"/>
    <col min="2" max="2" width="22" style="1" customWidth="1"/>
    <col min="3" max="3" width="12.7265625" style="1" customWidth="1"/>
    <col min="4" max="4" width="7.81640625" style="179" customWidth="1"/>
    <col min="5" max="5" width="10.54296875" style="179" customWidth="1"/>
    <col min="6" max="6" width="8.81640625" style="12" customWidth="1"/>
    <col min="7" max="7" width="10.54296875" style="12" customWidth="1"/>
    <col min="8" max="8" width="7.81640625" style="12" customWidth="1"/>
    <col min="9" max="9" width="6.26953125" style="1" customWidth="1"/>
    <col min="10" max="10" width="3.7265625" style="1" customWidth="1"/>
    <col min="11" max="16384" width="9.26953125" style="1"/>
  </cols>
  <sheetData>
    <row r="1" spans="1:14">
      <c r="A1" s="65" t="str">
        <f>'Exhibit List'!C17</f>
        <v>EXPECTED EARNINGS</v>
      </c>
      <c r="I1" s="63"/>
      <c r="J1" s="63" t="str">
        <f>'Exhibit List'!B17</f>
        <v>Exhibit AMM-10</v>
      </c>
    </row>
    <row r="2" spans="1:14">
      <c r="A2" s="65"/>
      <c r="B2" s="91"/>
      <c r="I2" s="63"/>
      <c r="J2" s="63" t="s">
        <v>121</v>
      </c>
    </row>
    <row r="3" spans="1:14">
      <c r="A3" s="62" t="str">
        <f>'Exhibit List'!D17</f>
        <v>UTILITY GROUP</v>
      </c>
      <c r="I3" s="63"/>
    </row>
    <row r="4" spans="1:14">
      <c r="A4" s="62"/>
      <c r="I4" s="63"/>
      <c r="J4" s="63"/>
    </row>
    <row r="5" spans="1:14">
      <c r="A5" s="62"/>
    </row>
    <row r="6" spans="1:14" ht="16.399999999999999" customHeight="1">
      <c r="D6" s="179" t="s">
        <v>21</v>
      </c>
      <c r="F6" s="12" t="s">
        <v>22</v>
      </c>
      <c r="H6" s="12" t="s">
        <v>23</v>
      </c>
    </row>
    <row r="7" spans="1:14" ht="16.399999999999999" customHeight="1">
      <c r="B7" s="308"/>
      <c r="C7" s="308"/>
      <c r="D7" s="309" t="s">
        <v>341</v>
      </c>
      <c r="E7" s="310"/>
      <c r="F7" s="311" t="s">
        <v>259</v>
      </c>
      <c r="G7" s="311"/>
      <c r="H7" s="309" t="s">
        <v>342</v>
      </c>
      <c r="I7" s="308"/>
    </row>
    <row r="8" spans="1:14">
      <c r="B8" s="312" t="s">
        <v>343</v>
      </c>
      <c r="C8" s="312"/>
      <c r="D8" s="313" t="s">
        <v>344</v>
      </c>
      <c r="E8" s="314"/>
      <c r="F8" s="314" t="s">
        <v>269</v>
      </c>
      <c r="G8" s="314"/>
      <c r="H8" s="313" t="s">
        <v>344</v>
      </c>
      <c r="I8" s="315"/>
    </row>
    <row r="9" spans="1:14">
      <c r="A9" s="162">
        <f>A8+1</f>
        <v>1</v>
      </c>
      <c r="B9" s="19" t="str">
        <f>VLOOKUP('Proxy Group Ticker'!$B3,vldatabase,2,FALSE)</f>
        <v>Alliant Energy</v>
      </c>
      <c r="C9" s="65"/>
      <c r="D9" s="316">
        <f>VLOOKUP('Proxy Group Ticker'!$B3,vldatabase,18,FALSE)</f>
        <v>0.12</v>
      </c>
      <c r="F9" s="317">
        <f>'6'!I9</f>
        <v>1.0156087579797128</v>
      </c>
      <c r="G9" s="175"/>
      <c r="H9" s="316">
        <f>IF(F9="n/a","n/a",D9*F9)</f>
        <v>0.12187305095756554</v>
      </c>
      <c r="M9" s="79">
        <f>IF(D9="n/a","n/a",IF(D9&lt;$C$37,"LOW",IF(D9&gt;$C$38,"HIGH",D9)))</f>
        <v>0.12</v>
      </c>
      <c r="N9" s="79">
        <f>IF(H9="n/a","n/a",IF(H9&lt;$C$37,"LOW",IF(H9&gt;$C$38,"HIGH",H9)))</f>
        <v>0.12187305095756554</v>
      </c>
    </row>
    <row r="10" spans="1:14">
      <c r="A10" s="162">
        <f t="shared" ref="A10:A28" si="0">A9+1</f>
        <v>2</v>
      </c>
      <c r="B10" s="19" t="str">
        <f>VLOOKUP('Proxy Group Ticker'!$B4,vldatabase,2,FALSE)</f>
        <v>American Elec Pwr</v>
      </c>
      <c r="C10" s="65"/>
      <c r="D10" s="316">
        <f>VLOOKUP('Proxy Group Ticker'!$B4,vldatabase,18,FALSE)</f>
        <v>0.11</v>
      </c>
      <c r="F10" s="317">
        <f>'6'!I10</f>
        <v>1.0119224421893764</v>
      </c>
      <c r="G10" s="175"/>
      <c r="H10" s="316">
        <f t="shared" ref="H10:H28" si="1">IF(F10="n/a","n/a",D10*F10)</f>
        <v>0.11131146864083141</v>
      </c>
      <c r="M10" s="79">
        <f t="shared" ref="M10:M28" si="2">IF(D10="n/a","n/a",IF(D10&lt;$C$37,"LOW",IF(D10&gt;$C$38,"HIGH",D10)))</f>
        <v>0.11</v>
      </c>
      <c r="N10" s="79">
        <f t="shared" ref="N10:N28" si="3">IF(H10="n/a","n/a",IF(H10&lt;$C$37,"LOW",IF(H10&gt;$C$38,"HIGH",H10)))</f>
        <v>0.11131146864083141</v>
      </c>
    </row>
    <row r="11" spans="1:14">
      <c r="A11" s="162">
        <f t="shared" si="0"/>
        <v>3</v>
      </c>
      <c r="B11" s="19" t="str">
        <f>VLOOKUP('Proxy Group Ticker'!$B5,vldatabase,2,FALSE)</f>
        <v>Avista Corp.</v>
      </c>
      <c r="C11" s="65"/>
      <c r="D11" s="316">
        <f>VLOOKUP('Proxy Group Ticker'!$B5,vldatabase,18,FALSE)</f>
        <v>0.08</v>
      </c>
      <c r="F11" s="317">
        <f>'6'!I11</f>
        <v>1.0162117079630499</v>
      </c>
      <c r="G11" s="175"/>
      <c r="H11" s="316">
        <f t="shared" si="1"/>
        <v>8.1296936637044001E-2</v>
      </c>
      <c r="M11" s="79">
        <f t="shared" si="2"/>
        <v>0.08</v>
      </c>
      <c r="N11" s="79">
        <f t="shared" si="3"/>
        <v>8.1296936637044001E-2</v>
      </c>
    </row>
    <row r="12" spans="1:14">
      <c r="A12" s="162">
        <f t="shared" si="0"/>
        <v>4</v>
      </c>
      <c r="B12" s="19" t="str">
        <f>VLOOKUP('Proxy Group Ticker'!$B6,vldatabase,2,FALSE)</f>
        <v>Black Hills Corp.</v>
      </c>
      <c r="C12" s="65"/>
      <c r="D12" s="316">
        <f>VLOOKUP('Proxy Group Ticker'!$B6,vldatabase,18,FALSE)</f>
        <v>8.5000000000000006E-2</v>
      </c>
      <c r="F12" s="317">
        <f>'6'!I12</f>
        <v>1.0267287154630274</v>
      </c>
      <c r="G12" s="175"/>
      <c r="H12" s="316">
        <f t="shared" si="1"/>
        <v>8.7271940814357338E-2</v>
      </c>
      <c r="M12" s="79">
        <f t="shared" si="2"/>
        <v>8.5000000000000006E-2</v>
      </c>
      <c r="N12" s="79">
        <f t="shared" si="3"/>
        <v>8.7271940814357338E-2</v>
      </c>
    </row>
    <row r="13" spans="1:14">
      <c r="A13" s="162">
        <f t="shared" si="0"/>
        <v>5</v>
      </c>
      <c r="B13" s="19" t="str">
        <f>VLOOKUP('Proxy Group Ticker'!$B7,vldatabase,2,FALSE)</f>
        <v>CenterPoint Energy</v>
      </c>
      <c r="C13" s="65"/>
      <c r="D13" s="316">
        <f>VLOOKUP('Proxy Group Ticker'!$B7,vldatabase,18,FALSE)</f>
        <v>0.105</v>
      </c>
      <c r="F13" s="317">
        <f>'6'!I13</f>
        <v>1.0262895276099322</v>
      </c>
      <c r="G13" s="175"/>
      <c r="H13" s="316">
        <f t="shared" si="1"/>
        <v>0.10776040039904287</v>
      </c>
      <c r="M13" s="79">
        <f t="shared" si="2"/>
        <v>0.105</v>
      </c>
      <c r="N13" s="79">
        <f t="shared" si="3"/>
        <v>0.10776040039904287</v>
      </c>
    </row>
    <row r="14" spans="1:14">
      <c r="A14" s="162">
        <f t="shared" si="0"/>
        <v>6</v>
      </c>
      <c r="B14" s="19" t="str">
        <f>VLOOKUP('Proxy Group Ticker'!$B8,vldatabase,2,FALSE)</f>
        <v>CMS Energy Corp.</v>
      </c>
      <c r="C14" s="65"/>
      <c r="D14" s="316">
        <f>VLOOKUP('Proxy Group Ticker'!$B8,vldatabase,18,FALSE)</f>
        <v>0.13500000000000001</v>
      </c>
      <c r="F14" s="317">
        <f>'6'!I14</f>
        <v>1.0146242061326995</v>
      </c>
      <c r="G14" s="175"/>
      <c r="H14" s="316">
        <f t="shared" si="1"/>
        <v>0.13697426782791444</v>
      </c>
      <c r="M14" s="79">
        <f t="shared" si="2"/>
        <v>0.13500000000000001</v>
      </c>
      <c r="N14" s="79">
        <f t="shared" si="3"/>
        <v>0.13697426782791444</v>
      </c>
    </row>
    <row r="15" spans="1:14">
      <c r="A15" s="162">
        <f t="shared" si="0"/>
        <v>7</v>
      </c>
      <c r="B15" s="19" t="str">
        <f>VLOOKUP('Proxy Group Ticker'!$B9,vldatabase,2,FALSE)</f>
        <v>Dominion Energy</v>
      </c>
      <c r="C15" s="65"/>
      <c r="D15" s="316">
        <f>VLOOKUP('Proxy Group Ticker'!$B9,vldatabase,18,FALSE)</f>
        <v>0.115</v>
      </c>
      <c r="F15" s="317">
        <f>'6'!I15</f>
        <v>1.0229187757931253</v>
      </c>
      <c r="G15" s="175"/>
      <c r="H15" s="316">
        <f t="shared" si="1"/>
        <v>0.11763565921620942</v>
      </c>
      <c r="M15" s="79">
        <f t="shared" si="2"/>
        <v>0.115</v>
      </c>
      <c r="N15" s="79">
        <f t="shared" si="3"/>
        <v>0.11763565921620942</v>
      </c>
    </row>
    <row r="16" spans="1:14">
      <c r="A16" s="162">
        <f t="shared" si="0"/>
        <v>8</v>
      </c>
      <c r="B16" s="19" t="str">
        <f>VLOOKUP('Proxy Group Ticker'!$B10,vldatabase,2,FALSE)</f>
        <v>DTE Energy Co.</v>
      </c>
      <c r="C16" s="65"/>
      <c r="D16" s="316">
        <f>VLOOKUP('Proxy Group Ticker'!$B10,vldatabase,18,FALSE)</f>
        <v>0.125</v>
      </c>
      <c r="F16" s="317">
        <f>'6'!I16</f>
        <v>1.0114144934242946</v>
      </c>
      <c r="G16" s="175"/>
      <c r="H16" s="316">
        <f t="shared" si="1"/>
        <v>0.12642681167803682</v>
      </c>
      <c r="M16" s="79">
        <f t="shared" si="2"/>
        <v>0.125</v>
      </c>
      <c r="N16" s="79">
        <f t="shared" si="3"/>
        <v>0.12642681167803682</v>
      </c>
    </row>
    <row r="17" spans="1:14">
      <c r="A17" s="162">
        <f t="shared" si="0"/>
        <v>9</v>
      </c>
      <c r="B17" s="19" t="str">
        <f>VLOOKUP('Proxy Group Ticker'!$B11,vldatabase,2,FALSE)</f>
        <v>Duke Energy Corp.</v>
      </c>
      <c r="C17" s="65"/>
      <c r="D17" s="316">
        <f>VLOOKUP('Proxy Group Ticker'!$B11,vldatabase,18,FALSE)</f>
        <v>0.105</v>
      </c>
      <c r="F17" s="317">
        <f>'6'!I17</f>
        <v>1.0187085500212825</v>
      </c>
      <c r="G17" s="175"/>
      <c r="H17" s="316">
        <f t="shared" si="1"/>
        <v>0.10696439775223465</v>
      </c>
      <c r="M17" s="79">
        <f t="shared" si="2"/>
        <v>0.105</v>
      </c>
      <c r="N17" s="79">
        <f t="shared" si="3"/>
        <v>0.10696439775223465</v>
      </c>
    </row>
    <row r="18" spans="1:14">
      <c r="A18" s="162">
        <f t="shared" si="0"/>
        <v>10</v>
      </c>
      <c r="B18" s="19" t="str">
        <f>VLOOKUP('Proxy Group Ticker'!$B12,vldatabase,2,FALSE)</f>
        <v>Edison International</v>
      </c>
      <c r="C18" s="65"/>
      <c r="D18" s="316">
        <f>VLOOKUP('Proxy Group Ticker'!$B12,vldatabase,18,FALSE)</f>
        <v>0.14000000000000001</v>
      </c>
      <c r="F18" s="317">
        <f>'6'!I18</f>
        <v>1.0364523220709372</v>
      </c>
      <c r="G18" s="175"/>
      <c r="H18" s="316">
        <f t="shared" si="1"/>
        <v>0.14510332508993121</v>
      </c>
      <c r="M18" s="79">
        <f t="shared" si="2"/>
        <v>0.14000000000000001</v>
      </c>
      <c r="N18" s="79">
        <f t="shared" si="3"/>
        <v>0.14510332508993121</v>
      </c>
    </row>
    <row r="19" spans="1:14">
      <c r="A19" s="162">
        <f t="shared" si="0"/>
        <v>11</v>
      </c>
      <c r="B19" s="19" t="str">
        <f>VLOOKUP('Proxy Group Ticker'!$B13,vldatabase,2,FALSE)</f>
        <v>Entergy Corp.</v>
      </c>
      <c r="C19" s="65"/>
      <c r="D19" s="316">
        <f>VLOOKUP('Proxy Group Ticker'!$B13,vldatabase,18,FALSE)</f>
        <v>9.5000000000000001E-2</v>
      </c>
      <c r="F19" s="317">
        <f>'6'!I19</f>
        <v>1.0301842811163557</v>
      </c>
      <c r="G19" s="175"/>
      <c r="H19" s="316">
        <f t="shared" si="1"/>
        <v>9.7867506706053792E-2</v>
      </c>
      <c r="M19" s="79">
        <f t="shared" si="2"/>
        <v>9.5000000000000001E-2</v>
      </c>
      <c r="N19" s="79">
        <f t="shared" si="3"/>
        <v>9.7867506706053792E-2</v>
      </c>
    </row>
    <row r="20" spans="1:14">
      <c r="A20" s="162">
        <f t="shared" si="0"/>
        <v>12</v>
      </c>
      <c r="B20" s="19" t="str">
        <f>VLOOKUP('Proxy Group Ticker'!$B14,vldatabase,2,FALSE)</f>
        <v>Evergy Inc.</v>
      </c>
      <c r="C20" s="65"/>
      <c r="D20" s="316">
        <f>VLOOKUP('Proxy Group Ticker'!$B14,vldatabase,18,FALSE)</f>
        <v>0.1</v>
      </c>
      <c r="F20" s="317">
        <f>'6'!I20</f>
        <v>1.012429909935213</v>
      </c>
      <c r="G20" s="175"/>
      <c r="H20" s="316">
        <f t="shared" si="1"/>
        <v>0.1012429909935213</v>
      </c>
      <c r="M20" s="79">
        <f t="shared" si="2"/>
        <v>0.1</v>
      </c>
      <c r="N20" s="79">
        <f t="shared" si="3"/>
        <v>0.1012429909935213</v>
      </c>
    </row>
    <row r="21" spans="1:14">
      <c r="A21" s="162">
        <f t="shared" si="0"/>
        <v>13</v>
      </c>
      <c r="B21" s="19" t="str">
        <f>VLOOKUP('Proxy Group Ticker'!$B15,vldatabase,2,FALSE)</f>
        <v>Eversource Energy</v>
      </c>
      <c r="C21" s="65"/>
      <c r="D21" s="316">
        <f>VLOOKUP('Proxy Group Ticker'!$B15,vldatabase,18,FALSE)</f>
        <v>0.115</v>
      </c>
      <c r="F21" s="317">
        <f>'6'!I21</f>
        <v>1.0266924008313512</v>
      </c>
      <c r="G21" s="175"/>
      <c r="H21" s="316">
        <f t="shared" si="1"/>
        <v>0.11806962609560538</v>
      </c>
      <c r="M21" s="79">
        <f t="shared" si="2"/>
        <v>0.115</v>
      </c>
      <c r="N21" s="79">
        <f t="shared" si="3"/>
        <v>0.11806962609560538</v>
      </c>
    </row>
    <row r="22" spans="1:14">
      <c r="A22" s="162">
        <f t="shared" si="0"/>
        <v>14</v>
      </c>
      <c r="B22" s="19" t="str">
        <f>VLOOKUP('Proxy Group Ticker'!$B16,vldatabase,2,FALSE)</f>
        <v>FirstEnergy Corp.</v>
      </c>
      <c r="C22" s="65"/>
      <c r="D22" s="316">
        <f>VLOOKUP('Proxy Group Ticker'!$B16,vldatabase,18,FALSE)</f>
        <v>0.125</v>
      </c>
      <c r="F22" s="317">
        <f>'6'!I22</f>
        <v>1.0242314932527496</v>
      </c>
      <c r="G22" s="175"/>
      <c r="H22" s="316">
        <f t="shared" si="1"/>
        <v>0.12802893665659371</v>
      </c>
      <c r="M22" s="79">
        <f t="shared" si="2"/>
        <v>0.125</v>
      </c>
      <c r="N22" s="79">
        <f t="shared" si="3"/>
        <v>0.12802893665659371</v>
      </c>
    </row>
    <row r="23" spans="1:14">
      <c r="A23" s="162">
        <f t="shared" si="0"/>
        <v>15</v>
      </c>
      <c r="B23" s="19" t="str">
        <f>VLOOKUP('Proxy Group Ticker'!$B17,vldatabase,2,FALSE)</f>
        <v>IDACORP, Inc.</v>
      </c>
      <c r="C23" s="65"/>
      <c r="D23" s="316">
        <f>VLOOKUP('Proxy Group Ticker'!$B17,vldatabase,18,FALSE)</f>
        <v>9.5000000000000001E-2</v>
      </c>
      <c r="F23" s="317">
        <f>'6'!I23</f>
        <v>1.0221902185102447</v>
      </c>
      <c r="G23" s="175"/>
      <c r="H23" s="316">
        <f t="shared" si="1"/>
        <v>9.7108070758473247E-2</v>
      </c>
      <c r="M23" s="79">
        <f t="shared" si="2"/>
        <v>9.5000000000000001E-2</v>
      </c>
      <c r="N23" s="79">
        <f t="shared" si="3"/>
        <v>9.7108070758473247E-2</v>
      </c>
    </row>
    <row r="24" spans="1:14">
      <c r="A24" s="162">
        <f t="shared" si="0"/>
        <v>16</v>
      </c>
      <c r="B24" s="19" t="str">
        <f>VLOOKUP('Proxy Group Ticker'!$B18,vldatabase,2,FALSE)</f>
        <v>NorthWestern Energy Grp.</v>
      </c>
      <c r="C24" s="65"/>
      <c r="D24" s="316">
        <f>VLOOKUP('Proxy Group Ticker'!$B18,vldatabase,18,FALSE)</f>
        <v>0.08</v>
      </c>
      <c r="F24" s="317">
        <f>'6'!I24</f>
        <v>1.0186374151840238</v>
      </c>
      <c r="G24" s="175"/>
      <c r="H24" s="316">
        <f t="shared" si="1"/>
        <v>8.1490993214721905E-2</v>
      </c>
      <c r="M24" s="79">
        <f t="shared" si="2"/>
        <v>0.08</v>
      </c>
      <c r="N24" s="79">
        <f t="shared" si="3"/>
        <v>8.1490993214721905E-2</v>
      </c>
    </row>
    <row r="25" spans="1:14">
      <c r="A25" s="162">
        <f t="shared" si="0"/>
        <v>17</v>
      </c>
      <c r="B25" s="19" t="str">
        <f>VLOOKUP('Proxy Group Ticker'!$B19,vldatabase,2,FALSE)</f>
        <v>Otter Tail Corp.</v>
      </c>
      <c r="C25" s="65"/>
      <c r="D25" s="316">
        <f>VLOOKUP('Proxy Group Ticker'!$B19,vldatabase,18,FALSE)</f>
        <v>0.115</v>
      </c>
      <c r="F25" s="317">
        <f>'6'!I25</f>
        <v>1.0081363094553224</v>
      </c>
      <c r="G25" s="175"/>
      <c r="H25" s="316">
        <f t="shared" si="1"/>
        <v>0.11593567558736208</v>
      </c>
      <c r="M25" s="79">
        <f t="shared" si="2"/>
        <v>0.115</v>
      </c>
      <c r="N25" s="79">
        <f t="shared" si="3"/>
        <v>0.11593567558736208</v>
      </c>
    </row>
    <row r="26" spans="1:14">
      <c r="A26" s="162">
        <f t="shared" si="0"/>
        <v>18</v>
      </c>
      <c r="B26" s="19" t="str">
        <f>VLOOKUP('Proxy Group Ticker'!$B20,vldatabase,2,FALSE)</f>
        <v>Pinnacle West Capital</v>
      </c>
      <c r="C26" s="65"/>
      <c r="D26" s="316">
        <f>VLOOKUP('Proxy Group Ticker'!$B20,vldatabase,18,FALSE)</f>
        <v>0.09</v>
      </c>
      <c r="F26" s="317">
        <f>'6'!I26</f>
        <v>1.0261604362780747</v>
      </c>
      <c r="G26" s="175"/>
      <c r="H26" s="316">
        <f t="shared" si="1"/>
        <v>9.2354439265026719E-2</v>
      </c>
      <c r="M26" s="79">
        <f t="shared" si="2"/>
        <v>0.09</v>
      </c>
      <c r="N26" s="79">
        <f t="shared" si="3"/>
        <v>9.2354439265026719E-2</v>
      </c>
    </row>
    <row r="27" spans="1:14">
      <c r="A27" s="162">
        <f t="shared" si="0"/>
        <v>19</v>
      </c>
      <c r="B27" s="19" t="str">
        <f>VLOOKUP('Proxy Group Ticker'!$B21,vldatabase,2,FALSE)</f>
        <v>Pub Sv Enterprise Grp.</v>
      </c>
      <c r="C27" s="65"/>
      <c r="D27" s="316">
        <f>VLOOKUP('Proxy Group Ticker'!$B21,vldatabase,18,FALSE)</f>
        <v>0.125</v>
      </c>
      <c r="F27" s="317">
        <f>'6'!I27</f>
        <v>1.0281639659629793</v>
      </c>
      <c r="G27" s="175"/>
      <c r="H27" s="316">
        <f t="shared" si="1"/>
        <v>0.12852049574537242</v>
      </c>
      <c r="M27" s="79">
        <f t="shared" si="2"/>
        <v>0.125</v>
      </c>
      <c r="N27" s="79">
        <f t="shared" si="3"/>
        <v>0.12852049574537242</v>
      </c>
    </row>
    <row r="28" spans="1:14">
      <c r="A28" s="162">
        <f t="shared" si="0"/>
        <v>20</v>
      </c>
      <c r="B28" s="19" t="str">
        <f>VLOOKUP('Proxy Group Ticker'!$B22,vldatabase,2,FALSE)</f>
        <v>Sempra</v>
      </c>
      <c r="C28" s="65"/>
      <c r="D28" s="316">
        <f>VLOOKUP('Proxy Group Ticker'!$B22,vldatabase,18,FALSE)</f>
        <v>0.105</v>
      </c>
      <c r="F28" s="317">
        <f>'6'!I28</f>
        <v>1.0343018118840879</v>
      </c>
      <c r="G28" s="175"/>
      <c r="H28" s="316">
        <f t="shared" si="1"/>
        <v>0.10860169024782922</v>
      </c>
      <c r="M28" s="79">
        <f t="shared" si="2"/>
        <v>0.105</v>
      </c>
      <c r="N28" s="79">
        <f t="shared" si="3"/>
        <v>0.10860169024782922</v>
      </c>
    </row>
    <row r="29" spans="1:14" s="2" customFormat="1" ht="4" customHeight="1">
      <c r="A29" s="65"/>
      <c r="B29" s="66"/>
      <c r="D29" s="318"/>
      <c r="E29" s="21"/>
      <c r="F29" s="317"/>
      <c r="G29" s="175"/>
      <c r="H29" s="319"/>
      <c r="I29" s="20"/>
      <c r="J29" s="20"/>
      <c r="L29" s="4"/>
      <c r="M29" s="179"/>
      <c r="N29" s="179"/>
    </row>
    <row r="30" spans="1:14" ht="15.65" customHeight="1">
      <c r="A30" s="64"/>
      <c r="B30" s="65" t="s">
        <v>47</v>
      </c>
      <c r="C30" s="65"/>
      <c r="D30" s="320">
        <f>AVERAGE(M9:M28)</f>
        <v>0.10825000000000003</v>
      </c>
      <c r="F30" s="179"/>
      <c r="G30" s="21"/>
      <c r="H30" s="320">
        <f>AVERAGE(N9:N28)</f>
        <v>0.11059193421418637</v>
      </c>
      <c r="L30" s="4" t="s">
        <v>244</v>
      </c>
      <c r="M30" s="179">
        <f>MIN(M9:M28)</f>
        <v>0.08</v>
      </c>
      <c r="N30" s="179">
        <f>MIN(N9:N28)</f>
        <v>8.1296936637044001E-2</v>
      </c>
    </row>
    <row r="31" spans="1:14" s="2" customFormat="1">
      <c r="A31" s="65"/>
      <c r="B31" s="66"/>
      <c r="D31" s="21"/>
      <c r="E31" s="21"/>
      <c r="F31" s="317"/>
      <c r="G31" s="175"/>
      <c r="H31" s="321"/>
      <c r="I31" s="20"/>
      <c r="J31" s="20"/>
      <c r="L31" s="4" t="s">
        <v>245</v>
      </c>
      <c r="M31" s="179">
        <f>MAX(M9:M28)</f>
        <v>0.14000000000000001</v>
      </c>
      <c r="N31" s="179">
        <f>MAX(N9:N28)</f>
        <v>0.14510332508993121</v>
      </c>
    </row>
    <row r="32" spans="1:14" s="2" customFormat="1">
      <c r="A32" s="65"/>
      <c r="B32" s="66"/>
      <c r="D32" s="21"/>
      <c r="E32" s="21"/>
      <c r="F32" s="317"/>
      <c r="G32" s="175"/>
      <c r="H32" s="321"/>
      <c r="I32" s="20"/>
      <c r="J32" s="20"/>
      <c r="L32" s="4"/>
      <c r="M32" s="179"/>
      <c r="N32" s="179"/>
    </row>
    <row r="33" spans="1:8" s="5" customFormat="1" ht="13">
      <c r="A33" s="322" t="s">
        <v>21</v>
      </c>
      <c r="B33" s="5" t="str">
        <f>'Electric Utility Data'!$B$48</f>
        <v>The Value Line Investment Survey (Mar. 7, Apr. 18, and May 9, 2025).</v>
      </c>
      <c r="C33" s="323"/>
      <c r="D33" s="174"/>
      <c r="E33" s="174"/>
      <c r="F33" s="172"/>
      <c r="G33" s="172"/>
      <c r="H33" s="172"/>
    </row>
    <row r="34" spans="1:8" s="5" customFormat="1" ht="13">
      <c r="A34" s="5" t="s">
        <v>22</v>
      </c>
      <c r="B34" s="6" t="str">
        <f>"Adjustment to convert year-end return to an average rate of return from "&amp;'6'!Q1 &amp;"."</f>
        <v>Adjustment to convert year-end return to an average rate of return from Exhibit AMM-6.</v>
      </c>
      <c r="C34" s="323"/>
      <c r="D34" s="174"/>
      <c r="E34" s="174"/>
      <c r="F34" s="172"/>
      <c r="G34" s="172"/>
      <c r="H34" s="172"/>
    </row>
    <row r="35" spans="1:8" s="5" customFormat="1" ht="13">
      <c r="A35" s="6" t="s">
        <v>23</v>
      </c>
      <c r="B35" s="5" t="s">
        <v>345</v>
      </c>
      <c r="C35" s="6"/>
      <c r="D35" s="174"/>
      <c r="E35" s="174"/>
      <c r="F35" s="172"/>
      <c r="G35" s="172"/>
      <c r="H35" s="172"/>
    </row>
    <row r="36" spans="1:8">
      <c r="H36" s="324"/>
    </row>
    <row r="37" spans="1:8">
      <c r="A37" s="4" t="s">
        <v>254</v>
      </c>
      <c r="B37" s="4"/>
      <c r="C37" s="325">
        <f>'5 (3)'!D36</f>
        <v>7.5399999999999995E-2</v>
      </c>
      <c r="E37" s="12"/>
      <c r="F37" s="1"/>
      <c r="H37" s="179">
        <f>MIN(H9:H28)</f>
        <v>8.1296936637044001E-2</v>
      </c>
    </row>
    <row r="38" spans="1:8">
      <c r="A38" s="4" t="s">
        <v>255</v>
      </c>
      <c r="B38" s="4"/>
      <c r="C38" s="326">
        <f>'5 (3)'!D37</f>
        <v>0.15989999999999999</v>
      </c>
      <c r="E38" s="12"/>
      <c r="F38" s="1"/>
      <c r="H38" s="179">
        <f>MAX(H9:H28)</f>
        <v>0.14510332508993121</v>
      </c>
    </row>
  </sheetData>
  <sortState xmlns:xlrd2="http://schemas.microsoft.com/office/spreadsheetml/2017/richdata2" ref="B9:I28">
    <sortCondition descending="1" ref="H9:H28"/>
  </sortState>
  <conditionalFormatting sqref="H9:H28">
    <cfRule type="expression" dxfId="9" priority="3">
      <formula>N9="LOW"</formula>
    </cfRule>
    <cfRule type="expression" dxfId="8" priority="4">
      <formula>N9="HIGH"</formula>
    </cfRule>
  </conditionalFormatting>
  <conditionalFormatting sqref="D9:D28">
    <cfRule type="expression" dxfId="7" priority="1">
      <formula>M9="LOW"</formula>
    </cfRule>
    <cfRule type="expression" dxfId="6" priority="2">
      <formula>M9="HIGH"</formula>
    </cfRule>
  </conditionalFormatting>
  <printOptions horizontalCentered="1"/>
  <pageMargins left="0.75" right="0.5" top="0.75" bottom="0.25" header="0.5" footer="0.5"/>
  <pageSetup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3B6D3-819B-483B-9D2D-309A76261D95}">
  <sheetPr>
    <pageSetUpPr fitToPage="1"/>
  </sheetPr>
  <dimension ref="A1:Y66"/>
  <sheetViews>
    <sheetView view="pageBreakPreview" zoomScaleNormal="100" zoomScaleSheetLayoutView="100" workbookViewId="0"/>
  </sheetViews>
  <sheetFormatPr defaultColWidth="10.1796875" defaultRowHeight="15.5"/>
  <cols>
    <col min="1" max="1" width="4.54296875" style="1344" customWidth="1"/>
    <col min="2" max="2" width="7.453125" style="1344" customWidth="1"/>
    <col min="3" max="3" width="32.7265625" style="216" customWidth="1"/>
    <col min="4" max="4" width="1.81640625" style="216" customWidth="1"/>
    <col min="5" max="5" width="12.26953125" style="216" customWidth="1"/>
    <col min="6" max="6" width="0.81640625" style="216" customWidth="1"/>
    <col min="7" max="7" width="12.81640625" style="216" customWidth="1"/>
    <col min="8" max="8" width="0.81640625" style="216" customWidth="1"/>
    <col min="9" max="9" width="10.1796875" style="216" customWidth="1"/>
    <col min="10" max="10" width="0.81640625" style="216" customWidth="1"/>
    <col min="11" max="11" width="12.26953125" style="216" customWidth="1"/>
    <col min="12" max="12" width="0.81640625" style="216" customWidth="1"/>
    <col min="13" max="13" width="15.7265625" style="216" bestFit="1" customWidth="1"/>
    <col min="14" max="14" width="0.81640625" style="216" customWidth="1"/>
    <col min="15" max="15" width="12.453125" style="216" customWidth="1"/>
    <col min="16" max="16" width="0.81640625" style="216" customWidth="1"/>
    <col min="17" max="17" width="13.81640625" style="1308" customWidth="1"/>
    <col min="18" max="18" width="0.81640625" style="1308" customWidth="1"/>
    <col min="19" max="19" width="17.1796875" style="1308" bestFit="1" customWidth="1"/>
    <col min="20" max="20" width="0.81640625" style="1308" customWidth="1"/>
    <col min="21" max="21" width="10.26953125" style="216" customWidth="1"/>
    <col min="22" max="22" width="3" style="216" customWidth="1"/>
    <col min="23" max="23" width="11.1796875" style="1309" bestFit="1" customWidth="1"/>
    <col min="24" max="24" width="17.1796875" style="216" bestFit="1" customWidth="1"/>
    <col min="25" max="16384" width="10.1796875" style="216"/>
  </cols>
  <sheetData>
    <row r="1" spans="1:24">
      <c r="A1" s="594" t="str">
        <f>'Exhibit List'!C18</f>
        <v>FLOTATION COST STUDY</v>
      </c>
      <c r="B1" s="1307"/>
      <c r="U1" s="215" t="str">
        <f>'Exhibit List'!B18</f>
        <v>Exhibit AMM-11</v>
      </c>
    </row>
    <row r="2" spans="1:24">
      <c r="A2" s="594"/>
      <c r="B2" s="1310"/>
      <c r="U2" s="215" t="s">
        <v>121</v>
      </c>
    </row>
    <row r="3" spans="1:24">
      <c r="A3" s="118" t="str">
        <f>'Exhibit List'!D18</f>
        <v>ELECTRIC &amp; GAS UTILITIES</v>
      </c>
      <c r="B3" s="118"/>
    </row>
    <row r="4" spans="1:24">
      <c r="A4" s="271"/>
      <c r="B4" s="271"/>
    </row>
    <row r="5" spans="1:24">
      <c r="A5" s="1311"/>
      <c r="B5" s="1311"/>
      <c r="C5" s="1312"/>
      <c r="D5" s="1313"/>
      <c r="E5" s="1314">
        <v>-1</v>
      </c>
      <c r="F5" s="1313"/>
      <c r="G5" s="1314">
        <f>E5-1</f>
        <v>-2</v>
      </c>
      <c r="H5" s="1313"/>
      <c r="I5" s="1314">
        <f>G5-1</f>
        <v>-3</v>
      </c>
      <c r="J5" s="1313"/>
      <c r="K5" s="1314">
        <f>I5-1</f>
        <v>-4</v>
      </c>
      <c r="L5" s="1313"/>
      <c r="M5" s="1314">
        <f>K5-1</f>
        <v>-5</v>
      </c>
      <c r="N5" s="1313"/>
      <c r="O5" s="1314">
        <f>M5-1</f>
        <v>-6</v>
      </c>
      <c r="P5" s="1312"/>
      <c r="Q5" s="1314">
        <f>O5-1</f>
        <v>-7</v>
      </c>
      <c r="R5" s="1312"/>
      <c r="S5" s="1314">
        <f>Q5-1</f>
        <v>-8</v>
      </c>
      <c r="T5" s="1312"/>
      <c r="U5" s="1314">
        <f>S5-1</f>
        <v>-9</v>
      </c>
    </row>
    <row r="6" spans="1:24">
      <c r="A6" s="1311"/>
      <c r="B6" s="1311"/>
      <c r="C6" s="1313"/>
      <c r="D6" s="1313"/>
      <c r="E6" s="1313"/>
      <c r="F6" s="1313"/>
      <c r="G6" s="1313"/>
      <c r="H6" s="1313"/>
      <c r="I6" s="1313"/>
      <c r="J6" s="1315"/>
      <c r="K6" s="1315" t="s">
        <v>1931</v>
      </c>
      <c r="L6" s="1315"/>
      <c r="M6" s="1315"/>
      <c r="N6" s="1315"/>
      <c r="O6" s="1315"/>
      <c r="P6" s="1315"/>
      <c r="Q6" s="599" t="s">
        <v>1</v>
      </c>
      <c r="R6" s="599"/>
      <c r="S6" s="599" t="s">
        <v>1932</v>
      </c>
      <c r="T6" s="599"/>
      <c r="U6" s="599" t="s">
        <v>1933</v>
      </c>
      <c r="V6" s="1287"/>
    </row>
    <row r="7" spans="1:24">
      <c r="A7" s="1311"/>
      <c r="B7" s="1311"/>
      <c r="C7" s="1313"/>
      <c r="D7" s="1313"/>
      <c r="E7" s="1315"/>
      <c r="F7" s="1316"/>
      <c r="G7" s="1315" t="s">
        <v>517</v>
      </c>
      <c r="H7" s="1315"/>
      <c r="I7" s="1315" t="s">
        <v>1934</v>
      </c>
      <c r="J7" s="1315"/>
      <c r="K7" s="1315" t="s">
        <v>1935</v>
      </c>
      <c r="L7" s="1315"/>
      <c r="M7" s="1315" t="s">
        <v>1931</v>
      </c>
      <c r="N7" s="1315"/>
      <c r="O7" s="1315" t="s">
        <v>1934</v>
      </c>
      <c r="P7" s="1315"/>
      <c r="Q7" s="599" t="s">
        <v>1933</v>
      </c>
      <c r="R7" s="1313"/>
      <c r="S7" s="1315" t="s">
        <v>1936</v>
      </c>
      <c r="T7" s="1313"/>
      <c r="U7" s="1315" t="s">
        <v>1937</v>
      </c>
      <c r="V7" s="1287"/>
      <c r="W7" s="1317" t="s">
        <v>1938</v>
      </c>
      <c r="X7" s="1289" t="s">
        <v>1939</v>
      </c>
    </row>
    <row r="8" spans="1:24">
      <c r="A8" s="1318" t="s">
        <v>1940</v>
      </c>
      <c r="B8" s="1318" t="s">
        <v>1941</v>
      </c>
      <c r="C8" s="1319" t="s">
        <v>78</v>
      </c>
      <c r="D8" s="1319"/>
      <c r="E8" s="1320" t="s">
        <v>514</v>
      </c>
      <c r="F8" s="1321"/>
      <c r="G8" s="1320" t="s">
        <v>1942</v>
      </c>
      <c r="H8" s="1320"/>
      <c r="I8" s="1320" t="s">
        <v>240</v>
      </c>
      <c r="J8" s="1320"/>
      <c r="K8" s="1320" t="s">
        <v>1943</v>
      </c>
      <c r="L8" s="1320"/>
      <c r="M8" s="1320" t="s">
        <v>1935</v>
      </c>
      <c r="N8" s="1320"/>
      <c r="O8" s="1320" t="s">
        <v>1944</v>
      </c>
      <c r="P8" s="1320"/>
      <c r="Q8" s="602" t="s">
        <v>1945</v>
      </c>
      <c r="R8" s="602"/>
      <c r="S8" s="602" t="s">
        <v>1945</v>
      </c>
      <c r="T8" s="602"/>
      <c r="U8" s="1320" t="s">
        <v>1946</v>
      </c>
      <c r="V8" s="1322"/>
      <c r="W8" s="1323" t="s">
        <v>240</v>
      </c>
      <c r="X8" s="1324" t="s">
        <v>1947</v>
      </c>
    </row>
    <row r="9" spans="1:24">
      <c r="A9" s="303">
        <v>1</v>
      </c>
      <c r="B9" s="303" t="s">
        <v>909</v>
      </c>
      <c r="C9" s="13" t="s">
        <v>3</v>
      </c>
      <c r="D9" s="4"/>
      <c r="E9" s="1325">
        <v>43783</v>
      </c>
      <c r="F9" s="4"/>
      <c r="G9" s="1326">
        <v>3717502</v>
      </c>
      <c r="H9" s="292"/>
      <c r="I9" s="561">
        <v>52.63</v>
      </c>
      <c r="J9" s="292"/>
      <c r="K9" s="1327">
        <v>0.39500000000000002</v>
      </c>
      <c r="L9" s="292"/>
      <c r="M9" s="1328">
        <f t="shared" ref="M9:M44" si="0">G9*K9</f>
        <v>1468413.29</v>
      </c>
      <c r="N9" s="292"/>
      <c r="O9" s="1328">
        <v>500000</v>
      </c>
      <c r="P9" s="292"/>
      <c r="Q9" s="1328">
        <f t="shared" ref="Q9:Q44" si="1">O9+M9</f>
        <v>1968413.29</v>
      </c>
      <c r="R9" s="1329"/>
      <c r="S9" s="1328">
        <f t="shared" ref="S9:S44" si="2">I9*G9</f>
        <v>195652130.26000002</v>
      </c>
      <c r="T9" s="1329"/>
      <c r="U9" s="1330">
        <f t="shared" ref="U9:U44" si="3">Q9/S9</f>
        <v>1.0060781282494583E-2</v>
      </c>
      <c r="V9" s="1331"/>
      <c r="W9" s="1332"/>
      <c r="X9" s="4"/>
    </row>
    <row r="10" spans="1:24">
      <c r="A10" s="303">
        <f t="shared" ref="A10:A44" si="4">A9+1</f>
        <v>2</v>
      </c>
      <c r="B10" s="303" t="s">
        <v>549</v>
      </c>
      <c r="C10" s="13" t="s">
        <v>4</v>
      </c>
      <c r="D10" s="4"/>
      <c r="E10" s="1325">
        <v>43682</v>
      </c>
      <c r="F10" s="4"/>
      <c r="G10" s="1326">
        <v>7549205</v>
      </c>
      <c r="H10" s="292"/>
      <c r="I10" s="561">
        <v>74.3</v>
      </c>
      <c r="J10" s="292"/>
      <c r="K10" s="1327">
        <v>0.12</v>
      </c>
      <c r="L10" s="292"/>
      <c r="M10" s="1328">
        <f t="shared" si="0"/>
        <v>905904.6</v>
      </c>
      <c r="N10" s="292"/>
      <c r="O10" s="1328">
        <v>750000</v>
      </c>
      <c r="P10" s="292"/>
      <c r="Q10" s="1328">
        <f t="shared" si="1"/>
        <v>1655904.6</v>
      </c>
      <c r="R10" s="1329"/>
      <c r="S10" s="1328">
        <f t="shared" si="2"/>
        <v>560905931.5</v>
      </c>
      <c r="T10" s="1329"/>
      <c r="U10" s="1330">
        <f t="shared" si="3"/>
        <v>2.9521966287140255E-3</v>
      </c>
      <c r="V10" s="1331"/>
      <c r="W10" s="1332"/>
      <c r="X10" s="4"/>
    </row>
    <row r="11" spans="1:24">
      <c r="A11" s="303">
        <f t="shared" si="4"/>
        <v>3</v>
      </c>
      <c r="B11" s="303" t="s">
        <v>551</v>
      </c>
      <c r="C11" s="13" t="s">
        <v>5</v>
      </c>
      <c r="D11" s="4"/>
      <c r="E11" s="1325">
        <v>39905</v>
      </c>
      <c r="F11" s="4"/>
      <c r="G11" s="1326">
        <f>60000000+9000000</f>
        <v>69000000</v>
      </c>
      <c r="H11" s="292"/>
      <c r="I11" s="561">
        <v>24.5</v>
      </c>
      <c r="J11" s="292"/>
      <c r="K11" s="1327">
        <v>0.73499999999999999</v>
      </c>
      <c r="L11" s="292"/>
      <c r="M11" s="1328">
        <f t="shared" si="0"/>
        <v>50715000</v>
      </c>
      <c r="N11" s="292"/>
      <c r="O11" s="1328">
        <v>400000</v>
      </c>
      <c r="P11" s="292"/>
      <c r="Q11" s="1328">
        <f t="shared" si="1"/>
        <v>51115000</v>
      </c>
      <c r="R11" s="1329"/>
      <c r="S11" s="1328">
        <f t="shared" si="2"/>
        <v>1690500000</v>
      </c>
      <c r="T11" s="1329"/>
      <c r="U11" s="1330">
        <f t="shared" si="3"/>
        <v>3.0236616385684707E-2</v>
      </c>
      <c r="V11" s="1331"/>
      <c r="W11" s="1332"/>
      <c r="X11" s="4"/>
    </row>
    <row r="12" spans="1:24">
      <c r="A12" s="303">
        <f t="shared" si="4"/>
        <v>4</v>
      </c>
      <c r="B12" s="303" t="s">
        <v>1262</v>
      </c>
      <c r="C12" s="13" t="s">
        <v>31</v>
      </c>
      <c r="D12" s="4"/>
      <c r="E12" s="1325">
        <v>39064</v>
      </c>
      <c r="F12" s="4"/>
      <c r="G12" s="1326">
        <f>2750000+412500</f>
        <v>3162500</v>
      </c>
      <c r="H12" s="292"/>
      <c r="I12" s="561">
        <v>25.05</v>
      </c>
      <c r="J12" s="292"/>
      <c r="K12" s="1327">
        <v>0.48</v>
      </c>
      <c r="L12" s="292"/>
      <c r="M12" s="1328">
        <f t="shared" si="0"/>
        <v>1518000</v>
      </c>
      <c r="N12" s="292"/>
      <c r="O12" s="1328">
        <v>300000</v>
      </c>
      <c r="P12" s="292"/>
      <c r="Q12" s="1328">
        <f t="shared" si="1"/>
        <v>1818000</v>
      </c>
      <c r="R12" s="1329"/>
      <c r="S12" s="1328">
        <f t="shared" si="2"/>
        <v>79220625</v>
      </c>
      <c r="T12" s="1329"/>
      <c r="U12" s="1330">
        <f t="shared" si="3"/>
        <v>2.294856926463279E-2</v>
      </c>
      <c r="V12" s="1331"/>
      <c r="W12" s="1332"/>
      <c r="X12" s="4"/>
    </row>
    <row r="13" spans="1:24">
      <c r="A13" s="303">
        <f t="shared" si="4"/>
        <v>5</v>
      </c>
      <c r="B13" s="303" t="s">
        <v>1264</v>
      </c>
      <c r="C13" s="13" t="s">
        <v>32</v>
      </c>
      <c r="D13" s="4"/>
      <c r="E13" s="1325">
        <v>43886</v>
      </c>
      <c r="F13" s="4"/>
      <c r="G13" s="1326">
        <v>1222942</v>
      </c>
      <c r="H13" s="292"/>
      <c r="I13" s="561">
        <v>81.77</v>
      </c>
      <c r="J13" s="292"/>
      <c r="K13" s="1327">
        <v>0.7359</v>
      </c>
      <c r="L13" s="292"/>
      <c r="M13" s="1328">
        <f t="shared" si="0"/>
        <v>899963.01780000003</v>
      </c>
      <c r="N13" s="292"/>
      <c r="O13" s="1328">
        <v>230000</v>
      </c>
      <c r="P13" s="292"/>
      <c r="Q13" s="1328">
        <f t="shared" si="1"/>
        <v>1129963.0178</v>
      </c>
      <c r="R13" s="1329"/>
      <c r="S13" s="1328">
        <f t="shared" si="2"/>
        <v>99999967.339999989</v>
      </c>
      <c r="T13" s="1329"/>
      <c r="U13" s="1330">
        <f t="shared" si="3"/>
        <v>1.1299633868460423E-2</v>
      </c>
      <c r="V13" s="1331"/>
      <c r="W13" s="1332"/>
      <c r="X13" s="4"/>
    </row>
    <row r="14" spans="1:24">
      <c r="A14" s="303">
        <f t="shared" si="4"/>
        <v>6</v>
      </c>
      <c r="B14" s="303" t="s">
        <v>664</v>
      </c>
      <c r="C14" s="13" t="s">
        <v>33</v>
      </c>
      <c r="D14" s="4"/>
      <c r="E14" s="1325">
        <v>45512</v>
      </c>
      <c r="F14" s="4"/>
      <c r="G14" s="1326">
        <v>9754194</v>
      </c>
      <c r="H14" s="292"/>
      <c r="I14" s="561">
        <v>25.63</v>
      </c>
      <c r="J14" s="292"/>
      <c r="K14" s="1327">
        <v>0.27</v>
      </c>
      <c r="L14" s="292"/>
      <c r="M14" s="1328">
        <f t="shared" si="0"/>
        <v>2633632.3800000004</v>
      </c>
      <c r="N14" s="292"/>
      <c r="O14" s="1328">
        <v>400000</v>
      </c>
      <c r="P14" s="292"/>
      <c r="Q14" s="1328">
        <f t="shared" si="1"/>
        <v>3033632.3800000004</v>
      </c>
      <c r="R14" s="1329"/>
      <c r="S14" s="1328">
        <f t="shared" si="2"/>
        <v>249999992.22</v>
      </c>
      <c r="T14" s="1329"/>
      <c r="U14" s="1330">
        <f t="shared" si="3"/>
        <v>1.2134529897626572E-2</v>
      </c>
      <c r="V14" s="1331"/>
      <c r="W14" s="1332"/>
      <c r="X14" s="4"/>
    </row>
    <row r="15" spans="1:24">
      <c r="A15" s="303">
        <f t="shared" si="4"/>
        <v>7</v>
      </c>
      <c r="B15" s="303" t="s">
        <v>662</v>
      </c>
      <c r="C15" s="13" t="s">
        <v>6</v>
      </c>
      <c r="D15" s="4"/>
      <c r="E15" s="1325">
        <v>38442</v>
      </c>
      <c r="F15" s="4"/>
      <c r="G15" s="1326">
        <f>20000000+3000000</f>
        <v>23000000</v>
      </c>
      <c r="H15" s="292"/>
      <c r="I15" s="561">
        <v>12.25</v>
      </c>
      <c r="J15" s="292"/>
      <c r="K15" s="1327">
        <v>0.42880000000000001</v>
      </c>
      <c r="L15" s="292"/>
      <c r="M15" s="1328">
        <f t="shared" si="0"/>
        <v>9862400</v>
      </c>
      <c r="N15" s="292"/>
      <c r="O15" s="1328">
        <v>325000</v>
      </c>
      <c r="P15" s="292"/>
      <c r="Q15" s="1328">
        <f t="shared" si="1"/>
        <v>10187400</v>
      </c>
      <c r="R15" s="1329"/>
      <c r="S15" s="1328">
        <f t="shared" si="2"/>
        <v>281750000</v>
      </c>
      <c r="T15" s="1329"/>
      <c r="U15" s="1330">
        <f t="shared" si="3"/>
        <v>3.6157586512866019E-2</v>
      </c>
      <c r="V15" s="1331"/>
      <c r="W15" s="1332"/>
      <c r="X15" s="4"/>
    </row>
    <row r="16" spans="1:24">
      <c r="A16" s="303">
        <f>A15+1</f>
        <v>8</v>
      </c>
      <c r="B16" s="303" t="s">
        <v>728</v>
      </c>
      <c r="C16" s="13" t="s">
        <v>1948</v>
      </c>
      <c r="D16" s="4"/>
      <c r="E16" s="1325">
        <v>45630</v>
      </c>
      <c r="F16" s="4"/>
      <c r="G16" s="1326">
        <v>7000000</v>
      </c>
      <c r="H16" s="292"/>
      <c r="I16" s="561">
        <v>96.66</v>
      </c>
      <c r="J16" s="292"/>
      <c r="K16" s="1327">
        <f>W16-I16</f>
        <v>0.87000000000000455</v>
      </c>
      <c r="L16" s="292"/>
      <c r="M16" s="1328">
        <f t="shared" si="0"/>
        <v>6090000.0000000317</v>
      </c>
      <c r="N16" s="292"/>
      <c r="O16" s="1328">
        <v>450000</v>
      </c>
      <c r="P16" s="292"/>
      <c r="Q16" s="1328">
        <f t="shared" si="1"/>
        <v>6540000.0000000317</v>
      </c>
      <c r="R16" s="1329"/>
      <c r="S16" s="1328">
        <f>I16*G16</f>
        <v>676620000</v>
      </c>
      <c r="T16" s="1329"/>
      <c r="U16" s="1330">
        <f t="shared" si="3"/>
        <v>9.6656912299370873E-3</v>
      </c>
      <c r="V16" s="1331"/>
      <c r="W16" s="1332">
        <v>97.53</v>
      </c>
      <c r="X16" s="1333">
        <f>S16-M16-O16</f>
        <v>670080000</v>
      </c>
    </row>
    <row r="17" spans="1:25">
      <c r="A17" s="303"/>
      <c r="B17" s="303"/>
      <c r="C17" s="13" t="s">
        <v>1949</v>
      </c>
      <c r="D17" s="4"/>
      <c r="E17" s="1325">
        <v>45721</v>
      </c>
      <c r="F17" s="4"/>
      <c r="G17" s="1326">
        <v>6300000</v>
      </c>
      <c r="H17" s="292"/>
      <c r="I17" s="561">
        <v>100.211</v>
      </c>
      <c r="J17" s="292"/>
      <c r="K17" s="1327">
        <f>W17-I17</f>
        <v>1.9390000000000072</v>
      </c>
      <c r="L17" s="292"/>
      <c r="M17" s="1328">
        <f t="shared" si="0"/>
        <v>12215700.000000045</v>
      </c>
      <c r="N17" s="292"/>
      <c r="O17" s="1328">
        <v>400000</v>
      </c>
      <c r="P17" s="292"/>
      <c r="Q17" s="1328">
        <f t="shared" si="1"/>
        <v>12615700.000000045</v>
      </c>
      <c r="R17" s="1329"/>
      <c r="S17" s="1328">
        <f>I17*G17</f>
        <v>631329300</v>
      </c>
      <c r="T17" s="1329"/>
      <c r="U17" s="1330">
        <f t="shared" si="3"/>
        <v>1.9982757017613543E-2</v>
      </c>
      <c r="V17" s="1331"/>
      <c r="W17" s="1332">
        <v>102.15</v>
      </c>
      <c r="X17" s="1333">
        <f>S17-M17-O17</f>
        <v>618713600</v>
      </c>
    </row>
    <row r="18" spans="1:25">
      <c r="A18" s="303">
        <f>A16+1</f>
        <v>9</v>
      </c>
      <c r="B18" s="303" t="s">
        <v>138</v>
      </c>
      <c r="C18" s="13" t="s">
        <v>1950</v>
      </c>
      <c r="D18" s="4"/>
      <c r="E18" s="1325">
        <v>43188</v>
      </c>
      <c r="F18" s="4"/>
      <c r="G18" s="1326">
        <v>20000000</v>
      </c>
      <c r="H18" s="292"/>
      <c r="I18" s="561">
        <v>67.325800000000001</v>
      </c>
      <c r="J18" s="292"/>
      <c r="K18" s="1327">
        <f>W18-I18</f>
        <v>1.8941999999999979</v>
      </c>
      <c r="L18" s="292"/>
      <c r="M18" s="1328">
        <f t="shared" si="0"/>
        <v>37883999.999999955</v>
      </c>
      <c r="N18" s="292"/>
      <c r="O18" s="1328">
        <v>450000</v>
      </c>
      <c r="P18" s="292"/>
      <c r="Q18" s="1328">
        <f t="shared" si="1"/>
        <v>38333999.999999955</v>
      </c>
      <c r="R18" s="1329"/>
      <c r="S18" s="1328">
        <f t="shared" si="2"/>
        <v>1346516000</v>
      </c>
      <c r="T18" s="1329"/>
      <c r="U18" s="1330">
        <f t="shared" si="3"/>
        <v>2.8469026732693824E-2</v>
      </c>
      <c r="V18" s="1331"/>
      <c r="W18" s="1332">
        <v>69.22</v>
      </c>
      <c r="X18" s="1333">
        <f>S18-M18-O18</f>
        <v>1308182000</v>
      </c>
    </row>
    <row r="19" spans="1:25">
      <c r="A19" s="303">
        <f t="shared" si="4"/>
        <v>10</v>
      </c>
      <c r="B19" s="303" t="s">
        <v>716</v>
      </c>
      <c r="C19" s="13" t="s">
        <v>8</v>
      </c>
      <c r="D19" s="4"/>
      <c r="E19" s="1325">
        <v>43767</v>
      </c>
      <c r="F19" s="4"/>
      <c r="G19" s="1326">
        <v>2400000</v>
      </c>
      <c r="H19" s="292"/>
      <c r="I19" s="561">
        <v>126</v>
      </c>
      <c r="J19" s="292"/>
      <c r="K19" s="1327">
        <v>3.15</v>
      </c>
      <c r="L19" s="292"/>
      <c r="M19" s="1328">
        <f t="shared" si="0"/>
        <v>7560000</v>
      </c>
      <c r="N19" s="292"/>
      <c r="O19" s="1328">
        <v>300000</v>
      </c>
      <c r="P19" s="292"/>
      <c r="Q19" s="1328">
        <f t="shared" si="1"/>
        <v>7860000</v>
      </c>
      <c r="R19" s="1329"/>
      <c r="S19" s="1328">
        <f t="shared" si="2"/>
        <v>302400000</v>
      </c>
      <c r="T19" s="1329"/>
      <c r="U19" s="1330">
        <f t="shared" si="3"/>
        <v>2.5992063492063493E-2</v>
      </c>
      <c r="V19" s="1331"/>
      <c r="W19" s="1332"/>
      <c r="X19" s="4"/>
    </row>
    <row r="20" spans="1:25">
      <c r="A20" s="303">
        <f t="shared" si="4"/>
        <v>11</v>
      </c>
      <c r="B20" s="303" t="s">
        <v>718</v>
      </c>
      <c r="C20" s="13" t="s">
        <v>1951</v>
      </c>
      <c r="D20" s="4"/>
      <c r="E20" s="1325">
        <v>43787</v>
      </c>
      <c r="F20" s="4"/>
      <c r="G20" s="1326">
        <v>25000000</v>
      </c>
      <c r="H20" s="292"/>
      <c r="I20" s="561">
        <v>85.99</v>
      </c>
      <c r="J20" s="292"/>
      <c r="K20" s="1327">
        <f>W20-I20</f>
        <v>2.6600000000000108</v>
      </c>
      <c r="L20" s="292"/>
      <c r="M20" s="1328">
        <f t="shared" si="0"/>
        <v>66500000.000000268</v>
      </c>
      <c r="N20" s="292"/>
      <c r="O20" s="1328">
        <v>592000</v>
      </c>
      <c r="P20" s="292"/>
      <c r="Q20" s="1328">
        <f t="shared" si="1"/>
        <v>67092000.000000268</v>
      </c>
      <c r="R20" s="1329"/>
      <c r="S20" s="1328">
        <f t="shared" si="2"/>
        <v>2149750000</v>
      </c>
      <c r="T20" s="1329"/>
      <c r="U20" s="1330">
        <f t="shared" si="3"/>
        <v>3.1209210373299344E-2</v>
      </c>
      <c r="V20" s="1331"/>
      <c r="W20" s="1332">
        <v>88.65</v>
      </c>
      <c r="X20" s="1333">
        <f>S20-M20-O20</f>
        <v>2082657999.9999998</v>
      </c>
    </row>
    <row r="21" spans="1:25">
      <c r="A21" s="303">
        <f t="shared" si="4"/>
        <v>12</v>
      </c>
      <c r="B21" s="303" t="s">
        <v>733</v>
      </c>
      <c r="C21" s="13" t="s">
        <v>35</v>
      </c>
      <c r="D21" s="4"/>
      <c r="E21" s="1325">
        <v>43964</v>
      </c>
      <c r="F21" s="4"/>
      <c r="G21" s="1326">
        <v>14181882</v>
      </c>
      <c r="H21" s="292"/>
      <c r="I21" s="561">
        <v>56.41</v>
      </c>
      <c r="J21" s="292"/>
      <c r="K21" s="1327">
        <f>14000000/G21</f>
        <v>0.9871750448917852</v>
      </c>
      <c r="L21" s="292"/>
      <c r="M21" s="1328">
        <f t="shared" si="0"/>
        <v>14000000</v>
      </c>
      <c r="N21" s="292"/>
      <c r="O21" s="1328">
        <v>1000000</v>
      </c>
      <c r="P21" s="292"/>
      <c r="Q21" s="1328">
        <f t="shared" si="1"/>
        <v>15000000</v>
      </c>
      <c r="R21" s="1329"/>
      <c r="S21" s="1328">
        <f t="shared" si="2"/>
        <v>799999963.62</v>
      </c>
      <c r="T21" s="1329"/>
      <c r="U21" s="1330">
        <f t="shared" si="3"/>
        <v>1.8750000852656289E-2</v>
      </c>
      <c r="V21" s="1331"/>
      <c r="W21" s="1332"/>
      <c r="X21" s="4"/>
    </row>
    <row r="22" spans="1:25">
      <c r="A22" s="303">
        <f t="shared" si="4"/>
        <v>13</v>
      </c>
      <c r="B22" s="303" t="s">
        <v>756</v>
      </c>
      <c r="C22" s="13" t="s">
        <v>10</v>
      </c>
      <c r="D22" s="4"/>
      <c r="E22" s="1325">
        <v>43259</v>
      </c>
      <c r="F22" s="4"/>
      <c r="G22" s="1326">
        <v>13289037</v>
      </c>
      <c r="H22" s="292"/>
      <c r="I22" s="561">
        <v>75.25</v>
      </c>
      <c r="J22" s="292"/>
      <c r="K22" s="1327">
        <v>0.8</v>
      </c>
      <c r="L22" s="292"/>
      <c r="M22" s="1328">
        <f t="shared" si="0"/>
        <v>10631229.600000001</v>
      </c>
      <c r="N22" s="292"/>
      <c r="O22" s="1328">
        <v>650000</v>
      </c>
      <c r="P22" s="292"/>
      <c r="Q22" s="1328">
        <f t="shared" si="1"/>
        <v>11281229.600000001</v>
      </c>
      <c r="R22" s="1329"/>
      <c r="S22" s="1328">
        <f t="shared" si="2"/>
        <v>1000000034.25</v>
      </c>
      <c r="T22" s="1329"/>
      <c r="U22" s="1330">
        <f t="shared" si="3"/>
        <v>1.1281229213617901E-2</v>
      </c>
      <c r="V22" s="1331"/>
      <c r="W22" s="1332"/>
      <c r="X22" s="4"/>
    </row>
    <row r="23" spans="1:25">
      <c r="A23" s="303">
        <f t="shared" si="4"/>
        <v>14</v>
      </c>
      <c r="B23" s="303" t="s">
        <v>758</v>
      </c>
      <c r="C23" s="13" t="s">
        <v>11</v>
      </c>
      <c r="D23" s="4"/>
      <c r="E23" s="1461" t="s">
        <v>1952</v>
      </c>
      <c r="F23" s="1461"/>
      <c r="G23" s="1461"/>
      <c r="H23" s="1461"/>
      <c r="I23" s="1461"/>
      <c r="J23" s="1461"/>
      <c r="K23" s="1461"/>
      <c r="L23" s="1461"/>
      <c r="M23" s="1461"/>
      <c r="N23" s="1461"/>
      <c r="O23" s="1461"/>
      <c r="P23" s="1461"/>
      <c r="Q23" s="1461"/>
      <c r="R23" s="1461"/>
      <c r="S23" s="1461"/>
      <c r="T23" s="1329"/>
      <c r="U23" s="1330"/>
      <c r="V23" s="1331"/>
      <c r="W23" s="1332"/>
      <c r="X23" s="4"/>
    </row>
    <row r="24" spans="1:25">
      <c r="A24" s="303">
        <f t="shared" si="4"/>
        <v>15</v>
      </c>
      <c r="B24" s="303" t="s">
        <v>750</v>
      </c>
      <c r="C24" s="13" t="s">
        <v>1953</v>
      </c>
      <c r="D24" s="4"/>
      <c r="E24" s="1325">
        <v>43994</v>
      </c>
      <c r="F24" s="4"/>
      <c r="G24" s="1326">
        <v>6000000</v>
      </c>
      <c r="H24" s="292"/>
      <c r="I24" s="561">
        <v>84.91</v>
      </c>
      <c r="J24" s="292"/>
      <c r="K24" s="1327">
        <f>W24-I24</f>
        <v>1.3500000000000085</v>
      </c>
      <c r="L24" s="292"/>
      <c r="M24" s="1328">
        <f t="shared" si="0"/>
        <v>8100000.0000000512</v>
      </c>
      <c r="N24" s="292"/>
      <c r="O24" s="1328">
        <v>600000</v>
      </c>
      <c r="P24" s="292"/>
      <c r="Q24" s="1328">
        <f t="shared" si="1"/>
        <v>8700000.0000000522</v>
      </c>
      <c r="R24" s="1329"/>
      <c r="S24" s="1328">
        <f t="shared" si="2"/>
        <v>509460000</v>
      </c>
      <c r="T24" s="1329"/>
      <c r="U24" s="1330">
        <f t="shared" si="3"/>
        <v>1.7076904958191128E-2</v>
      </c>
      <c r="V24" s="1331"/>
      <c r="W24" s="1332">
        <v>86.26</v>
      </c>
      <c r="X24" s="1333">
        <f>S24-M24-O24</f>
        <v>500759999.99999994</v>
      </c>
      <c r="Y24" s="1333"/>
    </row>
    <row r="25" spans="1:25">
      <c r="A25" s="303">
        <f t="shared" si="4"/>
        <v>16</v>
      </c>
      <c r="B25" s="303" t="s">
        <v>760</v>
      </c>
      <c r="C25" s="13" t="s">
        <v>1954</v>
      </c>
      <c r="D25" s="4"/>
      <c r="E25" s="1325">
        <v>44781</v>
      </c>
      <c r="F25" s="4"/>
      <c r="G25" s="1326">
        <v>11300000</v>
      </c>
      <c r="H25" s="292"/>
      <c r="I25" s="561">
        <v>43.32</v>
      </c>
      <c r="J25" s="292"/>
      <c r="K25" s="1327">
        <f>W25-I25</f>
        <v>0.99000000000000199</v>
      </c>
      <c r="L25" s="292"/>
      <c r="M25" s="1328">
        <f t="shared" si="0"/>
        <v>11187000.000000022</v>
      </c>
      <c r="N25" s="292"/>
      <c r="O25" s="1328">
        <v>900000</v>
      </c>
      <c r="P25" s="292"/>
      <c r="Q25" s="1328">
        <f t="shared" si="1"/>
        <v>12087000.000000022</v>
      </c>
      <c r="R25" s="1329"/>
      <c r="S25" s="1328">
        <f t="shared" si="2"/>
        <v>489516000</v>
      </c>
      <c r="T25" s="1329"/>
      <c r="U25" s="1330">
        <f t="shared" si="3"/>
        <v>2.4691736327311104E-2</v>
      </c>
      <c r="V25" s="1331"/>
      <c r="W25" s="1332">
        <v>44.31</v>
      </c>
      <c r="X25" s="1333">
        <f>S25-M25-O25</f>
        <v>477429000</v>
      </c>
    </row>
    <row r="26" spans="1:25">
      <c r="A26" s="303">
        <f t="shared" si="4"/>
        <v>17</v>
      </c>
      <c r="B26" s="303" t="s">
        <v>776</v>
      </c>
      <c r="C26" s="13" t="s">
        <v>37</v>
      </c>
      <c r="D26" s="4"/>
      <c r="E26" s="1325">
        <v>37879</v>
      </c>
      <c r="F26" s="4"/>
      <c r="G26" s="1326">
        <f>28000000+4200000</f>
        <v>32200000</v>
      </c>
      <c r="H26" s="292"/>
      <c r="I26" s="561">
        <v>30</v>
      </c>
      <c r="J26" s="292"/>
      <c r="K26" s="1327">
        <v>0.97499999999999998</v>
      </c>
      <c r="L26" s="292"/>
      <c r="M26" s="1328">
        <f t="shared" si="0"/>
        <v>31395000</v>
      </c>
      <c r="N26" s="292"/>
      <c r="O26" s="1328">
        <v>423000</v>
      </c>
      <c r="P26" s="292"/>
      <c r="Q26" s="1328">
        <f t="shared" si="1"/>
        <v>31818000</v>
      </c>
      <c r="R26" s="1329"/>
      <c r="S26" s="1328">
        <f t="shared" si="2"/>
        <v>966000000</v>
      </c>
      <c r="T26" s="1329"/>
      <c r="U26" s="1330">
        <f t="shared" si="3"/>
        <v>3.2937888198757766E-2</v>
      </c>
      <c r="V26" s="1331"/>
      <c r="W26" s="1332"/>
      <c r="X26" s="4"/>
    </row>
    <row r="27" spans="1:25">
      <c r="A27" s="303">
        <f t="shared" si="4"/>
        <v>18</v>
      </c>
      <c r="B27" s="303" t="s">
        <v>1265</v>
      </c>
      <c r="C27" s="13" t="s">
        <v>38</v>
      </c>
      <c r="D27" s="4"/>
      <c r="E27" s="1461" t="s">
        <v>1952</v>
      </c>
      <c r="F27" s="1461"/>
      <c r="G27" s="1461"/>
      <c r="H27" s="1461"/>
      <c r="I27" s="1461"/>
      <c r="J27" s="1461"/>
      <c r="K27" s="1461"/>
      <c r="L27" s="1461"/>
      <c r="M27" s="1461"/>
      <c r="N27" s="1461"/>
      <c r="O27" s="1461"/>
      <c r="P27" s="1461"/>
      <c r="Q27" s="1461"/>
      <c r="R27" s="1461"/>
      <c r="S27" s="1461"/>
      <c r="T27" s="1329"/>
      <c r="U27" s="1330"/>
      <c r="V27" s="1331"/>
      <c r="W27" s="1332"/>
      <c r="X27" s="4"/>
    </row>
    <row r="28" spans="1:25">
      <c r="A28" s="303">
        <f t="shared" si="4"/>
        <v>19</v>
      </c>
      <c r="B28" s="303" t="s">
        <v>1266</v>
      </c>
      <c r="C28" s="13" t="s">
        <v>39</v>
      </c>
      <c r="D28" s="4"/>
      <c r="E28" s="1325">
        <v>45559</v>
      </c>
      <c r="F28" s="4"/>
      <c r="G28" s="1326">
        <v>54054054</v>
      </c>
      <c r="H28" s="292"/>
      <c r="I28" s="561">
        <v>9.25</v>
      </c>
      <c r="J28" s="292"/>
      <c r="K28" s="1327">
        <v>0.27750000000000002</v>
      </c>
      <c r="L28" s="292"/>
      <c r="M28" s="1328">
        <f t="shared" si="0"/>
        <v>14999999.985000001</v>
      </c>
      <c r="N28" s="292"/>
      <c r="O28" s="1328">
        <v>650000</v>
      </c>
      <c r="P28" s="292"/>
      <c r="Q28" s="1328">
        <f t="shared" si="1"/>
        <v>15649999.985000001</v>
      </c>
      <c r="R28" s="1329"/>
      <c r="S28" s="1328">
        <f t="shared" si="2"/>
        <v>499999999.5</v>
      </c>
      <c r="T28" s="1329"/>
      <c r="U28" s="1330">
        <f t="shared" si="3"/>
        <v>3.1300000001300003E-2</v>
      </c>
      <c r="V28" s="1331"/>
      <c r="W28" s="1332"/>
      <c r="X28" s="4"/>
    </row>
    <row r="29" spans="1:25">
      <c r="A29" s="303">
        <f t="shared" si="4"/>
        <v>20</v>
      </c>
      <c r="B29" s="303" t="s">
        <v>1270</v>
      </c>
      <c r="C29" s="13" t="s">
        <v>14</v>
      </c>
      <c r="D29" s="4"/>
      <c r="E29" s="1325">
        <v>38331</v>
      </c>
      <c r="F29" s="4"/>
      <c r="G29" s="1326">
        <f>3500000+525000</f>
        <v>4025000</v>
      </c>
      <c r="H29" s="292"/>
      <c r="I29" s="561">
        <v>30</v>
      </c>
      <c r="J29" s="292"/>
      <c r="K29" s="1327">
        <v>1.2</v>
      </c>
      <c r="L29" s="292"/>
      <c r="M29" s="1328">
        <f t="shared" si="0"/>
        <v>4830000</v>
      </c>
      <c r="N29" s="292"/>
      <c r="O29" s="1328">
        <v>300000</v>
      </c>
      <c r="P29" s="292"/>
      <c r="Q29" s="1328">
        <f t="shared" si="1"/>
        <v>5130000</v>
      </c>
      <c r="R29" s="1329"/>
      <c r="S29" s="1328">
        <f t="shared" si="2"/>
        <v>120750000</v>
      </c>
      <c r="T29" s="1329"/>
      <c r="U29" s="1330">
        <f t="shared" si="3"/>
        <v>4.2484472049689442E-2</v>
      </c>
      <c r="V29" s="1331"/>
      <c r="W29" s="1332"/>
      <c r="X29" s="4"/>
    </row>
    <row r="30" spans="1:25">
      <c r="A30" s="303">
        <f t="shared" si="4"/>
        <v>21</v>
      </c>
      <c r="B30" s="303" t="s">
        <v>1271</v>
      </c>
      <c r="C30" s="13" t="s">
        <v>40</v>
      </c>
      <c r="D30" s="4"/>
      <c r="E30" s="1325">
        <v>43965</v>
      </c>
      <c r="F30" s="4"/>
      <c r="G30" s="1326">
        <v>1300000</v>
      </c>
      <c r="H30" s="292"/>
      <c r="I30" s="561">
        <v>56</v>
      </c>
      <c r="J30" s="292"/>
      <c r="K30" s="1327">
        <v>2.38</v>
      </c>
      <c r="L30" s="292"/>
      <c r="M30" s="1328">
        <f t="shared" si="0"/>
        <v>3094000</v>
      </c>
      <c r="N30" s="292"/>
      <c r="O30" s="1328">
        <v>500000</v>
      </c>
      <c r="P30" s="292"/>
      <c r="Q30" s="1328">
        <f t="shared" si="1"/>
        <v>3594000</v>
      </c>
      <c r="R30" s="1329"/>
      <c r="S30" s="1328">
        <f t="shared" si="2"/>
        <v>72800000</v>
      </c>
      <c r="T30" s="1329"/>
      <c r="U30" s="1330">
        <f t="shared" si="3"/>
        <v>4.9368131868131868E-2</v>
      </c>
      <c r="V30" s="1331"/>
      <c r="W30" s="1332"/>
      <c r="X30" s="4"/>
    </row>
    <row r="31" spans="1:25">
      <c r="A31" s="303">
        <f t="shared" si="4"/>
        <v>22</v>
      </c>
      <c r="B31" s="303" t="s">
        <v>969</v>
      </c>
      <c r="C31" s="13" t="s">
        <v>1955</v>
      </c>
      <c r="D31" s="4"/>
      <c r="E31" s="1325">
        <v>42677</v>
      </c>
      <c r="F31" s="4"/>
      <c r="G31" s="1326">
        <f>12000000+1800000</f>
        <v>13800000</v>
      </c>
      <c r="H31" s="292"/>
      <c r="I31" s="561">
        <v>124</v>
      </c>
      <c r="J31" s="292"/>
      <c r="K31" s="1327">
        <f>W31-I31</f>
        <v>1.8900000000000006</v>
      </c>
      <c r="L31" s="292"/>
      <c r="M31" s="1328">
        <f t="shared" si="0"/>
        <v>26082000.000000007</v>
      </c>
      <c r="N31" s="292"/>
      <c r="O31" s="1328">
        <v>750000</v>
      </c>
      <c r="P31" s="292"/>
      <c r="Q31" s="1328">
        <f t="shared" si="1"/>
        <v>26832000.000000007</v>
      </c>
      <c r="R31" s="1329"/>
      <c r="S31" s="1328">
        <f t="shared" si="2"/>
        <v>1711200000</v>
      </c>
      <c r="T31" s="1329"/>
      <c r="U31" s="1330">
        <f t="shared" si="3"/>
        <v>1.5680224403927072E-2</v>
      </c>
      <c r="V31" s="1331"/>
      <c r="W31" s="1332">
        <v>125.89</v>
      </c>
      <c r="X31" s="1333">
        <f>S31-M31-O31</f>
        <v>1684368000</v>
      </c>
    </row>
    <row r="32" spans="1:25">
      <c r="A32" s="303">
        <f t="shared" si="4"/>
        <v>23</v>
      </c>
      <c r="B32" s="303" t="s">
        <v>1272</v>
      </c>
      <c r="C32" s="13" t="s">
        <v>1956</v>
      </c>
      <c r="D32" s="4"/>
      <c r="E32" s="1325">
        <v>44518</v>
      </c>
      <c r="F32" s="4"/>
      <c r="G32" s="1326">
        <v>6074767</v>
      </c>
      <c r="H32" s="292"/>
      <c r="I32" s="561">
        <v>53.5</v>
      </c>
      <c r="J32" s="292"/>
      <c r="K32" s="1327">
        <v>1.605</v>
      </c>
      <c r="L32" s="292"/>
      <c r="M32" s="1328">
        <f t="shared" si="0"/>
        <v>9750001.0350000001</v>
      </c>
      <c r="N32" s="292"/>
      <c r="O32" s="1328">
        <v>900000</v>
      </c>
      <c r="P32" s="292"/>
      <c r="Q32" s="1328">
        <f t="shared" si="1"/>
        <v>10650001.035</v>
      </c>
      <c r="R32" s="1329"/>
      <c r="S32" s="1328">
        <f t="shared" si="2"/>
        <v>325000034.5</v>
      </c>
      <c r="T32" s="1329"/>
      <c r="U32" s="1330">
        <f t="shared" si="3"/>
        <v>3.2769230475266302E-2</v>
      </c>
      <c r="V32" s="1331"/>
      <c r="W32" s="1332"/>
      <c r="X32" s="1333"/>
    </row>
    <row r="33" spans="1:24">
      <c r="A33" s="303">
        <f t="shared" si="4"/>
        <v>24</v>
      </c>
      <c r="B33" s="303" t="s">
        <v>1273</v>
      </c>
      <c r="C33" s="13" t="s">
        <v>41</v>
      </c>
      <c r="D33" s="4"/>
      <c r="E33" s="1325">
        <v>37855</v>
      </c>
      <c r="F33" s="4"/>
      <c r="G33" s="1326">
        <f>4650000+674074</f>
        <v>5324074</v>
      </c>
      <c r="H33" s="292"/>
      <c r="I33" s="561">
        <v>21.6</v>
      </c>
      <c r="J33" s="292"/>
      <c r="K33" s="1327">
        <v>0.79</v>
      </c>
      <c r="L33" s="292"/>
      <c r="M33" s="1328">
        <f t="shared" si="0"/>
        <v>4206018.46</v>
      </c>
      <c r="N33" s="292"/>
      <c r="O33" s="1328">
        <v>325000</v>
      </c>
      <c r="P33" s="292"/>
      <c r="Q33" s="1328">
        <f t="shared" si="1"/>
        <v>4531018.46</v>
      </c>
      <c r="R33" s="1329"/>
      <c r="S33" s="1328">
        <f t="shared" si="2"/>
        <v>114999998.40000001</v>
      </c>
      <c r="T33" s="1329"/>
      <c r="U33" s="1330">
        <f t="shared" si="3"/>
        <v>3.9400161069915285E-2</v>
      </c>
      <c r="V33" s="1331"/>
      <c r="W33" s="1332"/>
      <c r="X33" s="4"/>
    </row>
    <row r="34" spans="1:24">
      <c r="A34" s="303">
        <f t="shared" si="4"/>
        <v>25</v>
      </c>
      <c r="B34" s="303" t="s">
        <v>1274</v>
      </c>
      <c r="C34" s="13" t="s">
        <v>42</v>
      </c>
      <c r="D34" s="4"/>
      <c r="E34" s="1461" t="s">
        <v>1952</v>
      </c>
      <c r="F34" s="1461"/>
      <c r="G34" s="1461"/>
      <c r="H34" s="1461"/>
      <c r="I34" s="1461"/>
      <c r="J34" s="1461"/>
      <c r="K34" s="1461"/>
      <c r="L34" s="1461"/>
      <c r="M34" s="1461"/>
      <c r="N34" s="1461"/>
      <c r="O34" s="1461"/>
      <c r="P34" s="1461"/>
      <c r="Q34" s="1461"/>
      <c r="R34" s="1461"/>
      <c r="S34" s="1461"/>
      <c r="T34" s="1329"/>
      <c r="U34" s="1330"/>
      <c r="V34" s="1331"/>
      <c r="W34" s="1332"/>
      <c r="X34" s="4"/>
    </row>
    <row r="35" spans="1:24">
      <c r="A35" s="303">
        <f t="shared" si="4"/>
        <v>26</v>
      </c>
      <c r="B35" s="303" t="s">
        <v>1013</v>
      </c>
      <c r="C35" s="13" t="s">
        <v>43</v>
      </c>
      <c r="D35" s="4"/>
      <c r="E35" s="1325">
        <v>45629</v>
      </c>
      <c r="F35" s="1325"/>
      <c r="G35" s="1326">
        <v>48661801</v>
      </c>
      <c r="H35" s="292"/>
      <c r="I35" s="561">
        <v>20.55</v>
      </c>
      <c r="J35" s="292"/>
      <c r="K35" s="1327">
        <v>0.39045000000000002</v>
      </c>
      <c r="L35" s="292"/>
      <c r="M35" s="1328">
        <f t="shared" ref="M35" si="5">G35*K35</f>
        <v>19000000.200449999</v>
      </c>
      <c r="N35" s="292"/>
      <c r="O35" s="1328">
        <v>750000</v>
      </c>
      <c r="P35" s="292"/>
      <c r="Q35" s="1328">
        <f t="shared" ref="Q35" si="6">O35+M35</f>
        <v>19750000.200449999</v>
      </c>
      <c r="R35" s="1329"/>
      <c r="S35" s="1328">
        <f t="shared" ref="S35" si="7">I35*G35</f>
        <v>1000000010.5500001</v>
      </c>
      <c r="T35" s="1329"/>
      <c r="U35" s="1330">
        <f t="shared" ref="U35" si="8">Q35/S35</f>
        <v>1.97499999920875E-2</v>
      </c>
      <c r="V35" s="1331"/>
      <c r="W35" s="1332"/>
      <c r="X35" s="4"/>
    </row>
    <row r="36" spans="1:24">
      <c r="A36" s="303">
        <f t="shared" si="4"/>
        <v>27</v>
      </c>
      <c r="B36" s="303" t="s">
        <v>1039</v>
      </c>
      <c r="C36" s="13" t="s">
        <v>44</v>
      </c>
      <c r="D36" s="4"/>
      <c r="E36" s="1325">
        <v>45352</v>
      </c>
      <c r="F36" s="4"/>
      <c r="G36" s="1326">
        <v>9774436</v>
      </c>
      <c r="H36" s="292"/>
      <c r="I36" s="561">
        <v>66.5</v>
      </c>
      <c r="J36" s="292"/>
      <c r="K36" s="1327">
        <v>1.9950000000000001</v>
      </c>
      <c r="L36" s="292"/>
      <c r="M36" s="1328">
        <f t="shared" si="0"/>
        <v>19499999.82</v>
      </c>
      <c r="N36" s="292"/>
      <c r="O36" s="1328">
        <v>550000</v>
      </c>
      <c r="P36" s="292"/>
      <c r="Q36" s="1328">
        <f t="shared" si="1"/>
        <v>20049999.82</v>
      </c>
      <c r="R36" s="1329"/>
      <c r="S36" s="1328">
        <f t="shared" si="2"/>
        <v>649999994</v>
      </c>
      <c r="T36" s="1329"/>
      <c r="U36" s="1330">
        <f t="shared" si="3"/>
        <v>3.0846153853964497E-2</v>
      </c>
      <c r="V36" s="1331"/>
      <c r="W36" s="1332"/>
      <c r="X36" s="4"/>
    </row>
    <row r="37" spans="1:24">
      <c r="A37" s="303">
        <f t="shared" si="4"/>
        <v>28</v>
      </c>
      <c r="B37" s="303" t="s">
        <v>1277</v>
      </c>
      <c r="C37" s="13" t="s">
        <v>45</v>
      </c>
      <c r="D37" s="4"/>
      <c r="E37" s="1325">
        <v>44861</v>
      </c>
      <c r="F37" s="4"/>
      <c r="G37" s="1326">
        <v>10100000</v>
      </c>
      <c r="H37" s="292"/>
      <c r="I37" s="561">
        <v>43</v>
      </c>
      <c r="J37" s="292"/>
      <c r="K37" s="1327">
        <v>1.2362500000000001</v>
      </c>
      <c r="L37" s="292"/>
      <c r="M37" s="1328">
        <f t="shared" si="0"/>
        <v>12486125</v>
      </c>
      <c r="N37" s="292"/>
      <c r="O37" s="1328">
        <f>500000+15000</f>
        <v>515000</v>
      </c>
      <c r="P37" s="292"/>
      <c r="Q37" s="1328">
        <f t="shared" si="1"/>
        <v>13001125</v>
      </c>
      <c r="R37" s="1329"/>
      <c r="S37" s="1328">
        <f t="shared" si="2"/>
        <v>434300000</v>
      </c>
      <c r="T37" s="1329"/>
      <c r="U37" s="1330">
        <f t="shared" si="3"/>
        <v>2.9935816256044211E-2</v>
      </c>
      <c r="V37" s="1331"/>
      <c r="W37" s="1332"/>
      <c r="X37" s="4"/>
    </row>
    <row r="38" spans="1:24">
      <c r="A38" s="303">
        <f t="shared" si="4"/>
        <v>29</v>
      </c>
      <c r="B38" s="303" t="s">
        <v>1045</v>
      </c>
      <c r="C38" s="13" t="s">
        <v>46</v>
      </c>
      <c r="D38" s="4"/>
      <c r="E38" s="1325">
        <v>43230</v>
      </c>
      <c r="F38" s="4"/>
      <c r="G38" s="1326">
        <v>55000000</v>
      </c>
      <c r="H38" s="292"/>
      <c r="I38" s="561">
        <v>27</v>
      </c>
      <c r="J38" s="292"/>
      <c r="K38" s="1327">
        <v>0.29430000000000001</v>
      </c>
      <c r="L38" s="292"/>
      <c r="M38" s="1328">
        <f t="shared" si="0"/>
        <v>16186500</v>
      </c>
      <c r="N38" s="292"/>
      <c r="O38" s="1328">
        <v>1000000</v>
      </c>
      <c r="P38" s="292"/>
      <c r="Q38" s="1328">
        <f t="shared" si="1"/>
        <v>17186500</v>
      </c>
      <c r="R38" s="1329"/>
      <c r="S38" s="1328">
        <f t="shared" si="2"/>
        <v>1485000000</v>
      </c>
      <c r="T38" s="1329"/>
      <c r="U38" s="1330">
        <f t="shared" si="3"/>
        <v>1.1573400673400673E-2</v>
      </c>
      <c r="V38" s="1331"/>
      <c r="W38" s="1332"/>
      <c r="X38" s="1333"/>
    </row>
    <row r="39" spans="1:24">
      <c r="A39" s="303">
        <f t="shared" si="4"/>
        <v>30</v>
      </c>
      <c r="B39" s="303" t="s">
        <v>1016</v>
      </c>
      <c r="C39" s="13" t="s">
        <v>16</v>
      </c>
      <c r="D39" s="4"/>
      <c r="E39" s="1325">
        <v>37896</v>
      </c>
      <c r="F39" s="4"/>
      <c r="G39" s="1326">
        <f>8250000+1237500</f>
        <v>9487500</v>
      </c>
      <c r="H39" s="292"/>
      <c r="I39" s="561">
        <v>41.75</v>
      </c>
      <c r="J39" s="292"/>
      <c r="K39" s="1327">
        <v>1.2524999999999999</v>
      </c>
      <c r="L39" s="292"/>
      <c r="M39" s="1328">
        <f t="shared" si="0"/>
        <v>11883093.75</v>
      </c>
      <c r="N39" s="292"/>
      <c r="O39" s="1328">
        <v>350000</v>
      </c>
      <c r="P39" s="292"/>
      <c r="Q39" s="1328">
        <f t="shared" si="1"/>
        <v>12233093.75</v>
      </c>
      <c r="R39" s="1329"/>
      <c r="S39" s="1328">
        <f t="shared" si="2"/>
        <v>396103125</v>
      </c>
      <c r="T39" s="1329"/>
      <c r="U39" s="1330">
        <f t="shared" si="3"/>
        <v>3.0883608277516114E-2</v>
      </c>
      <c r="V39" s="1331"/>
      <c r="W39" s="1332"/>
      <c r="X39" s="4"/>
    </row>
    <row r="40" spans="1:24">
      <c r="A40" s="303">
        <f t="shared" si="4"/>
        <v>31</v>
      </c>
      <c r="B40" s="303" t="s">
        <v>1097</v>
      </c>
      <c r="C40" s="13" t="s">
        <v>17</v>
      </c>
      <c r="D40" s="4"/>
      <c r="E40" s="1325">
        <v>45238</v>
      </c>
      <c r="F40" s="4"/>
      <c r="G40" s="1326">
        <v>17142858</v>
      </c>
      <c r="H40" s="292"/>
      <c r="I40" s="561">
        <v>70</v>
      </c>
      <c r="J40" s="292"/>
      <c r="K40" s="1327">
        <v>1.155</v>
      </c>
      <c r="L40" s="292"/>
      <c r="M40" s="1328">
        <f t="shared" si="0"/>
        <v>19800000.990000002</v>
      </c>
      <c r="N40" s="292"/>
      <c r="O40" s="1328">
        <v>600000</v>
      </c>
      <c r="P40" s="292"/>
      <c r="Q40" s="1328">
        <f t="shared" si="1"/>
        <v>20400000.990000002</v>
      </c>
      <c r="R40" s="1329"/>
      <c r="S40" s="1328">
        <f t="shared" si="2"/>
        <v>1200000060</v>
      </c>
      <c r="T40" s="1329"/>
      <c r="U40" s="1330">
        <f t="shared" si="3"/>
        <v>1.6999999975000003E-2</v>
      </c>
      <c r="V40" s="1331"/>
      <c r="W40" s="1332"/>
      <c r="X40" s="4"/>
    </row>
    <row r="41" spans="1:24">
      <c r="A41" s="303">
        <f t="shared" si="4"/>
        <v>32</v>
      </c>
      <c r="B41" s="303" t="s">
        <v>1092</v>
      </c>
      <c r="C41" s="13" t="s">
        <v>1957</v>
      </c>
      <c r="D41" s="4"/>
      <c r="E41" s="1325">
        <v>42600</v>
      </c>
      <c r="F41" s="4"/>
      <c r="G41" s="1326">
        <v>32500000</v>
      </c>
      <c r="H41" s="292"/>
      <c r="I41" s="561">
        <v>49.3</v>
      </c>
      <c r="J41" s="292"/>
      <c r="K41" s="1327">
        <f>W41-I41</f>
        <v>1.6600000000000037</v>
      </c>
      <c r="L41" s="292"/>
      <c r="M41" s="1328">
        <f t="shared" si="0"/>
        <v>53950000.000000119</v>
      </c>
      <c r="N41" s="292"/>
      <c r="O41" s="1328">
        <v>557000</v>
      </c>
      <c r="P41" s="292"/>
      <c r="Q41" s="1328">
        <f t="shared" si="1"/>
        <v>54507000.000000119</v>
      </c>
      <c r="R41" s="1329"/>
      <c r="S41" s="1328">
        <f t="shared" si="2"/>
        <v>1602250000</v>
      </c>
      <c r="T41" s="1329"/>
      <c r="U41" s="1330">
        <f t="shared" si="3"/>
        <v>3.4019035731003351E-2</v>
      </c>
      <c r="V41" s="1331"/>
      <c r="W41" s="1332">
        <v>50.96</v>
      </c>
      <c r="X41" s="1333">
        <f>S41-M41-O41</f>
        <v>1547743000</v>
      </c>
    </row>
    <row r="42" spans="1:24">
      <c r="A42" s="303">
        <f t="shared" si="4"/>
        <v>33</v>
      </c>
      <c r="B42" s="303" t="s">
        <v>1685</v>
      </c>
      <c r="C42" s="13" t="s">
        <v>1958</v>
      </c>
      <c r="D42" s="4"/>
      <c r="E42" s="1325">
        <v>43837</v>
      </c>
      <c r="F42" s="4"/>
      <c r="G42" s="1326">
        <v>5375000</v>
      </c>
      <c r="H42" s="292"/>
      <c r="I42" s="561">
        <v>47.21</v>
      </c>
      <c r="J42" s="292"/>
      <c r="K42" s="1327">
        <f>W42-I42</f>
        <v>1.990000000000002</v>
      </c>
      <c r="L42" s="292"/>
      <c r="M42" s="1328">
        <f>G42*K42</f>
        <v>10696250.000000011</v>
      </c>
      <c r="N42" s="292"/>
      <c r="O42" s="1328">
        <v>750000</v>
      </c>
      <c r="P42" s="292"/>
      <c r="Q42" s="1328">
        <f>O42+M42</f>
        <v>11446250.000000011</v>
      </c>
      <c r="R42" s="1329"/>
      <c r="S42" s="1328">
        <f>I42*G42</f>
        <v>253753750</v>
      </c>
      <c r="T42" s="1329"/>
      <c r="U42" s="1330">
        <f>Q42/S42</f>
        <v>4.5107707767865546E-2</v>
      </c>
      <c r="V42" s="1331"/>
      <c r="W42" s="1332">
        <v>49.2</v>
      </c>
      <c r="X42" s="1333">
        <f>S42-M42-O42</f>
        <v>242307500</v>
      </c>
    </row>
    <row r="43" spans="1:24">
      <c r="A43" s="303">
        <f t="shared" si="4"/>
        <v>34</v>
      </c>
      <c r="B43" s="303" t="s">
        <v>1183</v>
      </c>
      <c r="C43" s="13" t="s">
        <v>19</v>
      </c>
      <c r="D43" s="4"/>
      <c r="E43" s="1461" t="s">
        <v>1952</v>
      </c>
      <c r="F43" s="1461"/>
      <c r="G43" s="1461"/>
      <c r="H43" s="1461"/>
      <c r="I43" s="1461"/>
      <c r="J43" s="1461"/>
      <c r="K43" s="1461"/>
      <c r="L43" s="1461"/>
      <c r="M43" s="1461"/>
      <c r="N43" s="1461"/>
      <c r="O43" s="1461"/>
      <c r="P43" s="1461"/>
      <c r="Q43" s="1461"/>
      <c r="R43" s="1461"/>
      <c r="S43" s="1461"/>
      <c r="T43" s="1329"/>
      <c r="U43" s="1330"/>
      <c r="V43" s="1331"/>
      <c r="W43" s="1332"/>
      <c r="X43" s="4"/>
    </row>
    <row r="44" spans="1:24">
      <c r="A44" s="303">
        <f t="shared" si="4"/>
        <v>35</v>
      </c>
      <c r="B44" s="303" t="s">
        <v>1202</v>
      </c>
      <c r="C44" s="13" t="s">
        <v>1959</v>
      </c>
      <c r="D44" s="4"/>
      <c r="E44" s="1325">
        <v>45601</v>
      </c>
      <c r="F44" s="4"/>
      <c r="G44" s="1326">
        <v>18320610</v>
      </c>
      <c r="H44" s="292"/>
      <c r="I44" s="561">
        <v>65.5</v>
      </c>
      <c r="J44" s="292"/>
      <c r="K44" s="1327">
        <v>1.0644</v>
      </c>
      <c r="L44" s="292"/>
      <c r="M44" s="1328">
        <f t="shared" si="0"/>
        <v>19500457.284000002</v>
      </c>
      <c r="N44" s="292"/>
      <c r="O44" s="1328">
        <v>1200000</v>
      </c>
      <c r="P44" s="292"/>
      <c r="Q44" s="1328">
        <f t="shared" si="1"/>
        <v>20700457.284000002</v>
      </c>
      <c r="R44" s="1329"/>
      <c r="S44" s="1328">
        <f t="shared" si="2"/>
        <v>1199999955</v>
      </c>
      <c r="T44" s="1329"/>
      <c r="U44" s="1330">
        <f t="shared" si="3"/>
        <v>1.7250381716889317E-2</v>
      </c>
      <c r="V44" s="1331"/>
      <c r="W44" s="1332">
        <v>63.32</v>
      </c>
      <c r="X44" s="1333">
        <f>S44-M44-O44</f>
        <v>1179299497.7160001</v>
      </c>
    </row>
    <row r="45" spans="1:24" ht="17.25" customHeight="1">
      <c r="A45" s="162"/>
      <c r="B45" s="162"/>
      <c r="C45" s="434" t="s">
        <v>47</v>
      </c>
      <c r="D45" s="4"/>
      <c r="E45" s="203"/>
      <c r="F45" s="4"/>
      <c r="G45" s="203"/>
      <c r="H45" s="203"/>
      <c r="I45" s="203"/>
      <c r="J45" s="203"/>
      <c r="K45" s="203"/>
      <c r="L45" s="203"/>
      <c r="M45" s="203"/>
      <c r="N45" s="203"/>
      <c r="O45" s="203"/>
      <c r="P45" s="203"/>
      <c r="Q45" s="1334"/>
      <c r="R45" s="1334"/>
      <c r="S45" s="4"/>
      <c r="T45" s="1334"/>
      <c r="U45" s="1335">
        <f>AVERAGE(U9:U44)</f>
        <v>2.478796082339443E-2</v>
      </c>
      <c r="V45" s="203"/>
      <c r="W45" s="1336"/>
      <c r="X45" s="325"/>
    </row>
    <row r="46" spans="1:24" ht="17.25" customHeight="1">
      <c r="A46" s="162"/>
      <c r="B46" s="162"/>
      <c r="C46" s="434"/>
      <c r="D46" s="4"/>
      <c r="E46" s="203"/>
      <c r="F46" s="4"/>
      <c r="G46" s="203"/>
      <c r="H46" s="203"/>
      <c r="I46" s="203"/>
      <c r="J46" s="203"/>
      <c r="K46" s="203"/>
      <c r="L46" s="203"/>
      <c r="M46" s="203"/>
      <c r="N46" s="203"/>
      <c r="O46" s="203"/>
      <c r="P46" s="203"/>
      <c r="Q46" s="1334"/>
      <c r="R46" s="1334"/>
      <c r="S46" s="1334"/>
      <c r="T46" s="1334"/>
      <c r="U46" s="4"/>
      <c r="V46" s="203"/>
      <c r="W46" s="1336"/>
      <c r="X46" s="325"/>
    </row>
    <row r="47" spans="1:24">
      <c r="A47" s="1337">
        <v>1</v>
      </c>
      <c r="B47" s="1337" t="s">
        <v>590</v>
      </c>
      <c r="C47" s="13" t="s">
        <v>1659</v>
      </c>
      <c r="E47" s="1338">
        <v>43434</v>
      </c>
      <c r="G47" s="1339">
        <v>7008087</v>
      </c>
      <c r="H47" s="405"/>
      <c r="I47" s="1340">
        <v>92.75</v>
      </c>
      <c r="J47" s="405"/>
      <c r="K47" s="1341">
        <v>0.97689999999999999</v>
      </c>
      <c r="L47" s="405"/>
      <c r="M47" s="1342">
        <f>G47*K47</f>
        <v>6846200.1902999999</v>
      </c>
      <c r="N47" s="405"/>
      <c r="O47" s="1342">
        <v>1000000</v>
      </c>
      <c r="P47" s="405"/>
      <c r="Q47" s="1342">
        <f>O47+M47</f>
        <v>7846200.1902999999</v>
      </c>
      <c r="S47" s="1342">
        <f>I47*G47</f>
        <v>650000069.25</v>
      </c>
      <c r="U47" s="1343">
        <f t="shared" ref="U47:U54" si="9">Q47/S47</f>
        <v>1.2071075929812295E-2</v>
      </c>
      <c r="V47" s="405"/>
      <c r="W47" s="1332"/>
      <c r="X47" s="1342"/>
    </row>
    <row r="48" spans="1:24">
      <c r="A48" s="1337">
        <f>A47+1</f>
        <v>2</v>
      </c>
      <c r="B48" s="1337" t="s">
        <v>1635</v>
      </c>
      <c r="C48" s="13" t="s">
        <v>1960</v>
      </c>
      <c r="E48" s="1338">
        <v>45244</v>
      </c>
      <c r="G48" s="1339">
        <v>3859649</v>
      </c>
      <c r="H48" s="405"/>
      <c r="I48" s="1340">
        <v>85.5</v>
      </c>
      <c r="J48" s="405"/>
      <c r="K48" s="1341">
        <v>2.7787500000000001</v>
      </c>
      <c r="L48" s="405"/>
      <c r="M48" s="1342">
        <f>G48*K48</f>
        <v>10724999.658749999</v>
      </c>
      <c r="N48" s="405"/>
      <c r="O48" s="1342">
        <v>1000000</v>
      </c>
      <c r="P48" s="405"/>
      <c r="Q48" s="1342">
        <f>O48+M48</f>
        <v>11724999.658749999</v>
      </c>
      <c r="S48" s="1342">
        <f>I48*G48</f>
        <v>329999989.5</v>
      </c>
      <c r="U48" s="1343">
        <f t="shared" si="9"/>
        <v>3.5530303126721764E-2</v>
      </c>
      <c r="V48" s="405"/>
      <c r="W48" s="1332"/>
      <c r="X48" s="1342"/>
    </row>
    <row r="49" spans="1:25">
      <c r="A49" s="1337">
        <f t="shared" ref="A49:A54" si="10">A48+1</f>
        <v>3</v>
      </c>
      <c r="B49" s="1337" t="s">
        <v>1766</v>
      </c>
      <c r="C49" s="13" t="s">
        <v>1961</v>
      </c>
      <c r="E49" s="1338">
        <v>43803</v>
      </c>
      <c r="G49" s="1339">
        <v>5700000</v>
      </c>
      <c r="H49" s="405"/>
      <c r="I49" s="1340">
        <v>41.25</v>
      </c>
      <c r="J49" s="405"/>
      <c r="K49" s="1341">
        <v>1.2375</v>
      </c>
      <c r="L49" s="405"/>
      <c r="M49" s="1342">
        <f>G49*K49</f>
        <v>7053750</v>
      </c>
      <c r="N49" s="405"/>
      <c r="O49" s="1342">
        <v>500000</v>
      </c>
      <c r="P49" s="405"/>
      <c r="Q49" s="1342">
        <f>M49+O49</f>
        <v>7553750</v>
      </c>
      <c r="S49" s="1342">
        <f>I49*G49</f>
        <v>235125000</v>
      </c>
      <c r="U49" s="1343">
        <f t="shared" si="9"/>
        <v>3.2126528442317913E-2</v>
      </c>
      <c r="V49" s="405"/>
      <c r="W49" s="1332"/>
      <c r="X49" s="1342"/>
    </row>
    <row r="50" spans="1:25">
      <c r="A50" s="1337">
        <f t="shared" si="10"/>
        <v>4</v>
      </c>
      <c r="B50" s="1337" t="s">
        <v>973</v>
      </c>
      <c r="C50" s="13" t="s">
        <v>1962</v>
      </c>
      <c r="E50" s="1338">
        <v>42858</v>
      </c>
      <c r="G50" s="1339" t="s">
        <v>1952</v>
      </c>
      <c r="H50" s="405"/>
      <c r="I50" s="1339" t="s">
        <v>1952</v>
      </c>
      <c r="J50" s="405"/>
      <c r="K50" s="1339" t="s">
        <v>1952</v>
      </c>
      <c r="L50" s="405"/>
      <c r="M50" s="1342">
        <f>0.02*S50</f>
        <v>10000000</v>
      </c>
      <c r="N50" s="405"/>
      <c r="O50" s="1342">
        <v>57950</v>
      </c>
      <c r="P50" s="405"/>
      <c r="Q50" s="1342">
        <f>M50+O50</f>
        <v>10057950</v>
      </c>
      <c r="S50" s="1342">
        <v>500000000</v>
      </c>
      <c r="U50" s="1343">
        <f t="shared" si="9"/>
        <v>2.0115899999999999E-2</v>
      </c>
      <c r="V50" s="405"/>
      <c r="W50" s="1332"/>
      <c r="X50" s="1342"/>
    </row>
    <row r="51" spans="1:25">
      <c r="A51" s="1337">
        <f t="shared" si="10"/>
        <v>5</v>
      </c>
      <c r="B51" s="1337" t="s">
        <v>1755</v>
      </c>
      <c r="C51" s="13" t="s">
        <v>1963</v>
      </c>
      <c r="E51" s="1338">
        <v>44650</v>
      </c>
      <c r="G51" s="1339">
        <v>2500000</v>
      </c>
      <c r="H51" s="405"/>
      <c r="I51" s="1340">
        <v>50</v>
      </c>
      <c r="J51" s="405"/>
      <c r="K51" s="1341">
        <v>1.625</v>
      </c>
      <c r="L51" s="405"/>
      <c r="M51" s="1342">
        <f>G51*K51</f>
        <v>4062500</v>
      </c>
      <c r="N51" s="405"/>
      <c r="O51" s="1342">
        <v>450000</v>
      </c>
      <c r="P51" s="405"/>
      <c r="Q51" s="1342">
        <f>M51+O51</f>
        <v>4512500</v>
      </c>
      <c r="S51" s="1342">
        <f>I51*G51</f>
        <v>125000000</v>
      </c>
      <c r="U51" s="1343">
        <f t="shared" si="9"/>
        <v>3.61E-2</v>
      </c>
      <c r="V51" s="405"/>
      <c r="W51" s="1332"/>
      <c r="X51" s="1342"/>
    </row>
    <row r="52" spans="1:25">
      <c r="A52" s="1337">
        <f t="shared" si="10"/>
        <v>6</v>
      </c>
      <c r="B52" s="1337" t="s">
        <v>1727</v>
      </c>
      <c r="C52" s="13" t="s">
        <v>1964</v>
      </c>
      <c r="E52" s="1462" t="s">
        <v>1952</v>
      </c>
      <c r="F52" s="1462"/>
      <c r="G52" s="1462"/>
      <c r="H52" s="1462"/>
      <c r="I52" s="1462"/>
      <c r="J52" s="1462"/>
      <c r="K52" s="1462"/>
      <c r="L52" s="1462"/>
      <c r="M52" s="1462"/>
      <c r="N52" s="1462"/>
      <c r="O52" s="1462"/>
      <c r="P52" s="1462"/>
      <c r="Q52" s="1462"/>
      <c r="R52" s="1462"/>
      <c r="S52" s="1462"/>
      <c r="U52" s="1343"/>
      <c r="V52" s="405"/>
      <c r="W52" s="1332"/>
      <c r="X52" s="1342"/>
    </row>
    <row r="53" spans="1:25">
      <c r="A53" s="1337">
        <f t="shared" si="10"/>
        <v>7</v>
      </c>
      <c r="B53" s="1337" t="s">
        <v>1662</v>
      </c>
      <c r="C53" s="13" t="s">
        <v>1965</v>
      </c>
      <c r="E53" s="1338">
        <v>44994</v>
      </c>
      <c r="G53" s="1339">
        <v>3576180</v>
      </c>
      <c r="H53" s="405"/>
      <c r="I53" s="1340">
        <v>60.12</v>
      </c>
      <c r="J53" s="405"/>
      <c r="K53" s="1341">
        <v>2.0291000000000001</v>
      </c>
      <c r="L53" s="405"/>
      <c r="M53" s="1342">
        <f>G53*K53</f>
        <v>7256426.8380000005</v>
      </c>
      <c r="N53" s="405"/>
      <c r="O53" s="1342">
        <v>538000</v>
      </c>
      <c r="P53" s="405"/>
      <c r="Q53" s="1342">
        <f>M53+O53</f>
        <v>7794426.8380000005</v>
      </c>
      <c r="S53" s="1342">
        <f>I53*G53</f>
        <v>214999941.59999999</v>
      </c>
      <c r="U53" s="1343">
        <f t="shared" si="9"/>
        <v>3.6253157931090345E-2</v>
      </c>
      <c r="V53" s="405"/>
      <c r="W53" s="1332"/>
      <c r="X53" s="1342"/>
    </row>
    <row r="54" spans="1:25">
      <c r="A54" s="1337">
        <f t="shared" si="10"/>
        <v>8</v>
      </c>
      <c r="B54" s="1337" t="s">
        <v>1966</v>
      </c>
      <c r="C54" s="13" t="s">
        <v>1967</v>
      </c>
      <c r="E54" s="1338">
        <v>45092</v>
      </c>
      <c r="G54" s="1339">
        <v>1744549</v>
      </c>
      <c r="H54" s="405">
        <v>0.6875</v>
      </c>
      <c r="I54" s="1340">
        <v>64.2</v>
      </c>
      <c r="J54" s="405"/>
      <c r="K54" s="1341">
        <v>0.6</v>
      </c>
      <c r="L54" s="405"/>
      <c r="M54" s="1342">
        <f>G54*K54</f>
        <v>1046729.3999999999</v>
      </c>
      <c r="N54" s="405"/>
      <c r="O54" s="1342">
        <v>450000</v>
      </c>
      <c r="P54" s="405"/>
      <c r="Q54" s="1342">
        <f>M54+O54</f>
        <v>1496729.4</v>
      </c>
      <c r="S54" s="1342">
        <f>I54*G54</f>
        <v>112000045.80000001</v>
      </c>
      <c r="U54" s="1343">
        <f t="shared" si="9"/>
        <v>1.3363649892364595E-2</v>
      </c>
      <c r="V54" s="405"/>
      <c r="W54" s="1332"/>
      <c r="X54" s="1342"/>
    </row>
    <row r="55" spans="1:25" ht="17.25" customHeight="1">
      <c r="A55" s="162"/>
      <c r="B55" s="162"/>
      <c r="C55" s="434" t="s">
        <v>47</v>
      </c>
      <c r="D55" s="4"/>
      <c r="E55" s="203"/>
      <c r="F55" s="4"/>
      <c r="G55" s="203"/>
      <c r="H55" s="203"/>
      <c r="I55" s="203"/>
      <c r="J55" s="203"/>
      <c r="K55" s="203"/>
      <c r="L55" s="203"/>
      <c r="M55" s="203"/>
      <c r="N55" s="203"/>
      <c r="O55" s="203"/>
      <c r="P55" s="203"/>
      <c r="Q55" s="1334"/>
      <c r="R55" s="1334"/>
      <c r="S55" s="4"/>
      <c r="T55" s="1334"/>
      <c r="U55" s="1335">
        <f>AVERAGE(U47:U54)</f>
        <v>2.6508659331758132E-2</v>
      </c>
      <c r="V55" s="203"/>
      <c r="W55" s="1336"/>
      <c r="X55" s="325"/>
    </row>
    <row r="57" spans="1:25" ht="16" thickBot="1">
      <c r="C57" s="280" t="s">
        <v>1968</v>
      </c>
      <c r="U57" s="1345">
        <f>AVERAGE(U9:U44,U47:U54)</f>
        <v>2.5096804145408425E-2</v>
      </c>
    </row>
    <row r="58" spans="1:25" ht="16" thickTop="1">
      <c r="C58" s="280"/>
      <c r="U58" s="1346"/>
    </row>
    <row r="59" spans="1:25" s="1352" customFormat="1" ht="13">
      <c r="A59" s="183"/>
      <c r="B59" s="183" t="s">
        <v>1969</v>
      </c>
      <c r="C59" s="1347"/>
      <c r="D59" s="8"/>
      <c r="E59" s="1348"/>
      <c r="F59" s="8"/>
      <c r="G59" s="1348"/>
      <c r="H59" s="1348"/>
      <c r="I59" s="1348"/>
      <c r="J59" s="1348"/>
      <c r="K59" s="1348"/>
      <c r="L59" s="1348"/>
      <c r="M59" s="1348"/>
      <c r="N59" s="1348"/>
      <c r="O59" s="1348"/>
      <c r="P59" s="1348"/>
      <c r="Q59" s="1349"/>
      <c r="R59" s="1349"/>
      <c r="S59" s="1349"/>
      <c r="T59" s="1349"/>
      <c r="U59" s="8"/>
      <c r="V59" s="1348"/>
      <c r="W59" s="1350"/>
      <c r="X59" s="1351"/>
    </row>
    <row r="60" spans="1:25" s="1352" customFormat="1" ht="13">
      <c r="A60" s="438"/>
      <c r="B60" s="1353" t="s">
        <v>1970</v>
      </c>
      <c r="C60" s="438" t="s">
        <v>1971</v>
      </c>
      <c r="D60" s="438"/>
      <c r="E60" s="438"/>
      <c r="F60" s="438"/>
      <c r="G60" s="438"/>
      <c r="H60" s="438"/>
      <c r="I60" s="438"/>
      <c r="J60" s="438"/>
      <c r="K60" s="438"/>
      <c r="L60" s="438"/>
      <c r="M60" s="438"/>
      <c r="N60" s="438"/>
      <c r="O60" s="438"/>
      <c r="P60" s="438"/>
      <c r="Q60" s="438"/>
      <c r="R60" s="438"/>
      <c r="S60" s="438"/>
      <c r="T60" s="438"/>
      <c r="U60" s="438"/>
      <c r="V60" s="438"/>
      <c r="W60" s="1354"/>
      <c r="X60" s="438"/>
      <c r="Y60" s="1355"/>
    </row>
    <row r="61" spans="1:25" s="1352" customFormat="1" ht="13">
      <c r="A61" s="438"/>
      <c r="B61" s="1353" t="s">
        <v>1972</v>
      </c>
      <c r="C61" s="438" t="s">
        <v>1973</v>
      </c>
      <c r="D61" s="438"/>
      <c r="E61" s="438"/>
      <c r="F61" s="438"/>
      <c r="G61" s="438"/>
      <c r="H61" s="438"/>
      <c r="I61" s="438"/>
      <c r="J61" s="438"/>
      <c r="K61" s="438"/>
      <c r="L61" s="438"/>
      <c r="M61" s="438"/>
      <c r="N61" s="438"/>
      <c r="O61" s="438"/>
      <c r="P61" s="438"/>
      <c r="Q61" s="438"/>
      <c r="R61" s="438"/>
      <c r="S61" s="438"/>
      <c r="T61" s="438"/>
      <c r="U61" s="438"/>
      <c r="V61" s="438"/>
      <c r="W61" s="1356"/>
      <c r="X61" s="1357"/>
    </row>
    <row r="62" spans="1:25" s="1352" customFormat="1" ht="13">
      <c r="A62" s="438"/>
      <c r="B62" s="1353" t="s">
        <v>1974</v>
      </c>
      <c r="C62" s="438" t="s">
        <v>1971</v>
      </c>
      <c r="D62" s="438"/>
      <c r="E62" s="438"/>
      <c r="F62" s="438"/>
      <c r="G62" s="438"/>
      <c r="H62" s="438"/>
      <c r="I62" s="438"/>
      <c r="J62" s="438"/>
      <c r="K62" s="438"/>
      <c r="L62" s="438"/>
      <c r="M62" s="438"/>
      <c r="N62" s="438"/>
      <c r="O62" s="438"/>
      <c r="P62" s="438"/>
      <c r="Q62" s="438"/>
      <c r="R62" s="438"/>
      <c r="S62" s="438"/>
      <c r="T62" s="438"/>
      <c r="U62" s="438"/>
      <c r="V62" s="438"/>
      <c r="W62" s="1354"/>
      <c r="X62" s="438"/>
    </row>
    <row r="63" spans="1:25" s="1352" customFormat="1" ht="13">
      <c r="A63" s="438"/>
      <c r="B63" s="1353" t="s">
        <v>1975</v>
      </c>
      <c r="C63" s="438" t="s">
        <v>1976</v>
      </c>
      <c r="D63" s="296"/>
      <c r="E63" s="296"/>
      <c r="F63" s="296"/>
      <c r="G63" s="296"/>
      <c r="H63" s="296"/>
      <c r="I63" s="296"/>
      <c r="J63" s="296"/>
      <c r="K63" s="296"/>
      <c r="L63" s="296"/>
      <c r="M63" s="296"/>
      <c r="N63" s="296"/>
      <c r="O63" s="296"/>
      <c r="P63" s="296"/>
      <c r="Q63" s="296"/>
      <c r="R63" s="296"/>
      <c r="S63" s="296"/>
      <c r="T63" s="296"/>
      <c r="U63" s="438"/>
      <c r="V63" s="296"/>
      <c r="W63" s="1354"/>
      <c r="X63" s="438"/>
    </row>
    <row r="64" spans="1:25" s="1352" customFormat="1" ht="13">
      <c r="A64" s="438"/>
      <c r="B64" s="1353" t="s">
        <v>1977</v>
      </c>
      <c r="C64" s="438" t="s">
        <v>1978</v>
      </c>
      <c r="D64" s="296"/>
      <c r="E64" s="296"/>
      <c r="F64" s="296"/>
      <c r="G64" s="296"/>
      <c r="H64" s="296"/>
      <c r="I64" s="296"/>
      <c r="J64" s="296"/>
      <c r="K64" s="296"/>
      <c r="L64" s="296"/>
      <c r="M64" s="296"/>
      <c r="N64" s="296"/>
      <c r="O64" s="296"/>
      <c r="P64" s="296"/>
      <c r="Q64" s="296"/>
      <c r="R64" s="296"/>
      <c r="S64" s="296"/>
      <c r="T64" s="296"/>
      <c r="U64" s="438"/>
      <c r="V64" s="296"/>
      <c r="W64" s="1354"/>
      <c r="X64" s="438"/>
    </row>
    <row r="65" spans="1:24" s="111" customFormat="1" ht="13">
      <c r="A65" s="438"/>
      <c r="B65" s="1353" t="s">
        <v>1979</v>
      </c>
      <c r="C65" s="8" t="s">
        <v>1980</v>
      </c>
      <c r="D65" s="296"/>
      <c r="E65" s="296"/>
      <c r="F65" s="296"/>
      <c r="G65" s="296"/>
      <c r="H65" s="296"/>
      <c r="I65" s="296"/>
      <c r="J65" s="296"/>
      <c r="K65" s="296"/>
      <c r="L65" s="296"/>
      <c r="M65" s="296"/>
      <c r="N65" s="296"/>
      <c r="O65" s="296"/>
      <c r="P65" s="296"/>
      <c r="Q65" s="296"/>
      <c r="R65" s="296"/>
      <c r="S65" s="296"/>
      <c r="T65" s="296"/>
      <c r="U65" s="438"/>
      <c r="V65" s="296"/>
      <c r="W65" s="1354"/>
      <c r="X65" s="438"/>
    </row>
    <row r="66" spans="1:24" s="111" customFormat="1" ht="13">
      <c r="A66" s="183"/>
      <c r="B66" s="1358" t="s">
        <v>1981</v>
      </c>
      <c r="C66" s="183" t="s">
        <v>1982</v>
      </c>
      <c r="D66" s="8"/>
      <c r="E66" s="8"/>
      <c r="F66" s="8"/>
      <c r="G66" s="8"/>
      <c r="H66" s="8"/>
      <c r="I66" s="8"/>
      <c r="J66" s="8"/>
      <c r="K66" s="8"/>
      <c r="L66" s="8"/>
      <c r="M66" s="8"/>
      <c r="N66" s="8"/>
      <c r="O66" s="8"/>
      <c r="P66" s="8"/>
      <c r="Q66" s="1359"/>
      <c r="R66" s="1359"/>
      <c r="S66" s="1359"/>
      <c r="T66" s="1359"/>
      <c r="U66" s="8"/>
      <c r="V66" s="8"/>
      <c r="W66" s="1350"/>
      <c r="X66" s="8"/>
    </row>
  </sheetData>
  <mergeCells count="5">
    <mergeCell ref="E23:S23"/>
    <mergeCell ref="E27:S27"/>
    <mergeCell ref="E34:S34"/>
    <mergeCell ref="E43:S43"/>
    <mergeCell ref="E52:S52"/>
  </mergeCells>
  <printOptions horizontalCentered="1"/>
  <pageMargins left="0.5" right="0.5" top="0.5" bottom="0.25" header="0" footer="0"/>
  <pageSetup scale="56"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F274D-7D47-4405-A310-3B82106C2BD8}">
  <sheetPr codeName="Sheet16">
    <pageSetUpPr fitToPage="1"/>
  </sheetPr>
  <dimension ref="A1:L57"/>
  <sheetViews>
    <sheetView view="pageBreakPreview" zoomScaleNormal="100" zoomScaleSheetLayoutView="100" workbookViewId="0"/>
  </sheetViews>
  <sheetFormatPr defaultColWidth="9.26953125" defaultRowHeight="15.5"/>
  <cols>
    <col min="1" max="1" width="4.26953125" style="162" customWidth="1"/>
    <col min="2" max="2" width="24.81640625" style="4" customWidth="1"/>
    <col min="3" max="3" width="25.453125" style="4" customWidth="1"/>
    <col min="4" max="4" width="4.54296875" style="4" customWidth="1"/>
    <col min="5" max="5" width="10.81640625" style="4" customWidth="1"/>
    <col min="6" max="6" width="4.54296875" style="4" customWidth="1"/>
    <col min="7" max="7" width="10.453125" style="4" customWidth="1"/>
    <col min="8" max="8" width="4.54296875" style="4" customWidth="1"/>
    <col min="9" max="9" width="8.26953125" style="4" bestFit="1" customWidth="1"/>
    <col min="10" max="10" width="2.26953125" style="4" customWidth="1"/>
    <col min="11" max="11" width="9.26953125" style="299" customWidth="1"/>
    <col min="12" max="13" width="9.26953125" style="4"/>
    <col min="14" max="14" width="22.26953125" style="4" customWidth="1"/>
    <col min="15" max="16" width="9.7265625" style="4" bestFit="1" customWidth="1"/>
    <col min="17" max="41" width="9.26953125" style="4"/>
    <col min="42" max="42" width="9.7265625" style="4" bestFit="1" customWidth="1"/>
    <col min="43" max="16384" width="9.26953125" style="4"/>
  </cols>
  <sheetData>
    <row r="1" spans="1:12">
      <c r="A1" s="268" t="str">
        <f>'Exhibit List'!C19</f>
        <v>DCF MODEL - NON-UTILITY GROUP</v>
      </c>
      <c r="B1" s="216"/>
      <c r="C1" s="216"/>
      <c r="D1" s="216"/>
      <c r="E1" s="216"/>
      <c r="F1" s="216"/>
      <c r="G1" s="216"/>
      <c r="H1" s="216"/>
      <c r="I1" s="216"/>
      <c r="J1" s="215" t="str">
        <f>'Exhibit List'!B19</f>
        <v>Exhibit AMM-12</v>
      </c>
    </row>
    <row r="2" spans="1:12">
      <c r="A2" s="268"/>
      <c r="B2" s="270"/>
      <c r="C2" s="216"/>
      <c r="D2" s="216"/>
      <c r="E2" s="216"/>
      <c r="F2" s="216"/>
      <c r="G2" s="216"/>
      <c r="H2" s="216"/>
      <c r="I2" s="216"/>
      <c r="J2" s="215" t="s">
        <v>238</v>
      </c>
    </row>
    <row r="3" spans="1:12">
      <c r="A3" s="271" t="str">
        <f>'Exhibit List'!D19</f>
        <v>DIVIDEND YIELD</v>
      </c>
      <c r="B3" s="216"/>
      <c r="C3" s="216"/>
      <c r="D3" s="216"/>
      <c r="E3" s="216"/>
      <c r="F3" s="216"/>
      <c r="G3" s="216"/>
      <c r="H3" s="216"/>
      <c r="I3" s="216"/>
      <c r="J3" s="216"/>
    </row>
    <row r="4" spans="1:12">
      <c r="A4" s="17"/>
    </row>
    <row r="5" spans="1:12" s="180" customFormat="1">
      <c r="A5" s="162"/>
      <c r="E5" s="180" t="s">
        <v>21</v>
      </c>
      <c r="G5" s="291" t="s">
        <v>22</v>
      </c>
      <c r="K5" s="300"/>
      <c r="L5" s="4"/>
    </row>
    <row r="6" spans="1:12" s="180" customFormat="1" ht="1.5" customHeight="1">
      <c r="A6" s="162"/>
      <c r="G6" s="291"/>
      <c r="K6" s="300"/>
      <c r="L6" s="4"/>
    </row>
    <row r="7" spans="1:12">
      <c r="B7" s="275" t="s">
        <v>346</v>
      </c>
      <c r="C7" s="275" t="s">
        <v>347</v>
      </c>
      <c r="D7" s="275"/>
      <c r="E7" s="191" t="s">
        <v>240</v>
      </c>
      <c r="F7" s="301"/>
      <c r="G7" s="191" t="s">
        <v>241</v>
      </c>
      <c r="H7" s="191"/>
      <c r="I7" s="191" t="s">
        <v>242</v>
      </c>
      <c r="J7" s="211"/>
      <c r="L7" s="180"/>
    </row>
    <row r="8" spans="1:12">
      <c r="A8" s="13">
        <f>A7+1</f>
        <v>1</v>
      </c>
      <c r="B8" s="162" t="s">
        <v>348</v>
      </c>
      <c r="C8" s="162" t="s">
        <v>349</v>
      </c>
      <c r="D8" s="624"/>
      <c r="E8" s="625">
        <f>'Stock Price (Non-Utility)'!C34</f>
        <v>130.21366666666665</v>
      </c>
      <c r="F8" s="626"/>
      <c r="G8" s="625">
        <v>2.36</v>
      </c>
      <c r="I8" s="292">
        <f>G8/E8</f>
        <v>1.8124057638599124E-2</v>
      </c>
      <c r="J8" s="282"/>
      <c r="L8" s="627" t="s">
        <v>350</v>
      </c>
    </row>
    <row r="9" spans="1:12">
      <c r="A9" s="13">
        <f t="shared" ref="A9:A52" si="0">A8+1</f>
        <v>2</v>
      </c>
      <c r="B9" s="628" t="s">
        <v>1367</v>
      </c>
      <c r="C9" s="628" t="s">
        <v>361</v>
      </c>
      <c r="D9" s="624"/>
      <c r="E9" s="625">
        <f>'Stock Price (Non-Utility)'!D34</f>
        <v>183.34900000000005</v>
      </c>
      <c r="F9" s="626"/>
      <c r="G9" s="625">
        <v>6.56</v>
      </c>
      <c r="I9" s="292">
        <f t="shared" ref="I9:I52" si="1">G9/E9</f>
        <v>3.5778760724083564E-2</v>
      </c>
      <c r="J9" s="282"/>
      <c r="L9" s="627" t="s">
        <v>538</v>
      </c>
    </row>
    <row r="10" spans="1:12">
      <c r="A10" s="13">
        <f t="shared" si="0"/>
        <v>3</v>
      </c>
      <c r="B10" s="628" t="s">
        <v>352</v>
      </c>
      <c r="C10" s="628" t="s">
        <v>353</v>
      </c>
      <c r="E10" s="625">
        <f>'Stock Price (Non-Utility)'!F34</f>
        <v>87.084666666666664</v>
      </c>
      <c r="G10" s="625">
        <v>1.92</v>
      </c>
      <c r="I10" s="292">
        <f t="shared" si="1"/>
        <v>2.2047509320431459E-2</v>
      </c>
      <c r="L10" s="627" t="s">
        <v>354</v>
      </c>
    </row>
    <row r="11" spans="1:12">
      <c r="A11" s="13">
        <f t="shared" si="0"/>
        <v>4</v>
      </c>
      <c r="B11" s="628" t="s">
        <v>355</v>
      </c>
      <c r="C11" s="628" t="s">
        <v>356</v>
      </c>
      <c r="D11" s="624"/>
      <c r="E11" s="625">
        <f>'Stock Price (Non-Utility)'!G34</f>
        <v>279.58333333333337</v>
      </c>
      <c r="F11" s="626"/>
      <c r="G11" s="625">
        <v>9.52</v>
      </c>
      <c r="I11" s="292">
        <f t="shared" si="1"/>
        <v>3.4050670640834571E-2</v>
      </c>
      <c r="J11" s="282"/>
      <c r="K11" s="4"/>
      <c r="L11" s="627" t="s">
        <v>357</v>
      </c>
    </row>
    <row r="12" spans="1:12">
      <c r="A12" s="13">
        <f t="shared" si="0"/>
        <v>5</v>
      </c>
      <c r="B12" s="628" t="s">
        <v>1368</v>
      </c>
      <c r="C12" s="628" t="s">
        <v>1375</v>
      </c>
      <c r="D12" s="624"/>
      <c r="E12" s="625">
        <f>'Stock Price (Non-Utility)'!H34</f>
        <v>148.50133333333332</v>
      </c>
      <c r="F12" s="626"/>
      <c r="G12" s="625">
        <v>1.85</v>
      </c>
      <c r="I12" s="292">
        <f t="shared" si="1"/>
        <v>1.2457800603361588E-2</v>
      </c>
      <c r="J12" s="282"/>
      <c r="K12" s="4"/>
      <c r="L12" s="627" t="s">
        <v>1369</v>
      </c>
    </row>
    <row r="13" spans="1:12">
      <c r="A13" s="13">
        <f t="shared" si="0"/>
        <v>6</v>
      </c>
      <c r="B13" s="628" t="s">
        <v>1468</v>
      </c>
      <c r="C13" s="628" t="s">
        <v>1472</v>
      </c>
      <c r="D13" s="624"/>
      <c r="E13" s="625">
        <f>'Stock Price (Non-Utility)'!I34</f>
        <v>299.78966666666668</v>
      </c>
      <c r="F13" s="626"/>
      <c r="G13" s="625">
        <v>6.16</v>
      </c>
      <c r="I13" s="292">
        <f t="shared" si="1"/>
        <v>2.0547739581862394E-2</v>
      </c>
      <c r="J13" s="282"/>
      <c r="K13" s="4"/>
      <c r="L13" s="627" t="s">
        <v>547</v>
      </c>
    </row>
    <row r="14" spans="1:12">
      <c r="A14" s="13">
        <f t="shared" si="0"/>
        <v>7</v>
      </c>
      <c r="B14" s="628" t="s">
        <v>360</v>
      </c>
      <c r="C14" s="628" t="s">
        <v>361</v>
      </c>
      <c r="D14" s="624"/>
      <c r="E14" s="625">
        <f>'Stock Price (Non-Utility)'!J34</f>
        <v>49.076333333333331</v>
      </c>
      <c r="F14" s="626"/>
      <c r="G14" s="625">
        <v>2.48</v>
      </c>
      <c r="I14" s="292">
        <f t="shared" si="1"/>
        <v>5.0533522607638444E-2</v>
      </c>
      <c r="J14" s="282"/>
      <c r="K14" s="4"/>
      <c r="L14" s="627" t="s">
        <v>362</v>
      </c>
    </row>
    <row r="15" spans="1:12">
      <c r="A15" s="13">
        <f t="shared" si="0"/>
        <v>8</v>
      </c>
      <c r="B15" s="628" t="s">
        <v>365</v>
      </c>
      <c r="C15" s="628" t="s">
        <v>366</v>
      </c>
      <c r="D15" s="624"/>
      <c r="E15" s="625">
        <f>'Stock Price (Non-Utility)'!L34</f>
        <v>34.335000000000008</v>
      </c>
      <c r="F15" s="626"/>
      <c r="G15" s="625">
        <v>1</v>
      </c>
      <c r="I15" s="292">
        <f t="shared" si="1"/>
        <v>2.9124799767001594E-2</v>
      </c>
      <c r="J15" s="282"/>
      <c r="K15" s="4"/>
      <c r="L15" s="627" t="s">
        <v>367</v>
      </c>
    </row>
    <row r="16" spans="1:12">
      <c r="A16" s="13">
        <f t="shared" si="0"/>
        <v>9</v>
      </c>
      <c r="B16" s="628" t="s">
        <v>368</v>
      </c>
      <c r="C16" s="628" t="s">
        <v>369</v>
      </c>
      <c r="D16" s="624"/>
      <c r="E16" s="625">
        <f>'Stock Price (Non-Utility)'!M34</f>
        <v>98.455333333333328</v>
      </c>
      <c r="F16" s="626"/>
      <c r="G16" s="625">
        <v>1.18</v>
      </c>
      <c r="I16" s="292">
        <f t="shared" si="1"/>
        <v>1.1985130312899928E-2</v>
      </c>
      <c r="J16" s="282"/>
      <c r="K16" s="4"/>
      <c r="L16" s="627" t="s">
        <v>370</v>
      </c>
    </row>
    <row r="17" spans="1:12">
      <c r="A17" s="13">
        <f t="shared" si="0"/>
        <v>10</v>
      </c>
      <c r="B17" s="628" t="s">
        <v>371</v>
      </c>
      <c r="C17" s="628" t="s">
        <v>372</v>
      </c>
      <c r="D17" s="624"/>
      <c r="E17" s="625">
        <f>'Stock Price (Non-Utility)'!N34</f>
        <v>58.243666666666677</v>
      </c>
      <c r="F17" s="626"/>
      <c r="G17" s="625">
        <v>1.64</v>
      </c>
      <c r="I17" s="292">
        <f t="shared" si="1"/>
        <v>2.815756791868643E-2</v>
      </c>
      <c r="J17" s="282"/>
      <c r="K17" s="4"/>
      <c r="L17" s="627" t="s">
        <v>373</v>
      </c>
    </row>
    <row r="18" spans="1:12">
      <c r="A18" s="13">
        <f t="shared" si="0"/>
        <v>11</v>
      </c>
      <c r="B18" s="628" t="s">
        <v>1370</v>
      </c>
      <c r="C18" s="628" t="s">
        <v>395</v>
      </c>
      <c r="D18" s="624"/>
      <c r="E18" s="625">
        <f>'Stock Price (Non-Utility)'!O34</f>
        <v>269.1273333333333</v>
      </c>
      <c r="F18" s="626"/>
      <c r="G18" s="625">
        <v>5</v>
      </c>
      <c r="I18" s="292">
        <f t="shared" si="1"/>
        <v>1.8578566279654492E-2</v>
      </c>
      <c r="J18" s="282"/>
      <c r="K18" s="4"/>
      <c r="L18" s="627" t="s">
        <v>658</v>
      </c>
    </row>
    <row r="19" spans="1:12">
      <c r="A19" s="13">
        <f t="shared" si="0"/>
        <v>12</v>
      </c>
      <c r="B19" s="628" t="s">
        <v>374</v>
      </c>
      <c r="C19" s="628" t="s">
        <v>366</v>
      </c>
      <c r="D19" s="624"/>
      <c r="E19" s="625">
        <f>'Stock Price (Non-Utility)'!P34</f>
        <v>71.421666666666667</v>
      </c>
      <c r="F19" s="626"/>
      <c r="G19" s="625">
        <v>2.04</v>
      </c>
      <c r="I19" s="292">
        <f t="shared" si="1"/>
        <v>2.8562761066903135E-2</v>
      </c>
      <c r="J19" s="282"/>
      <c r="K19" s="4"/>
      <c r="L19" s="627" t="s">
        <v>375</v>
      </c>
    </row>
    <row r="20" spans="1:12">
      <c r="A20" s="13">
        <f t="shared" si="0"/>
        <v>13</v>
      </c>
      <c r="B20" s="628" t="s">
        <v>376</v>
      </c>
      <c r="C20" s="628" t="s">
        <v>369</v>
      </c>
      <c r="D20" s="624"/>
      <c r="E20" s="625">
        <f>'Stock Price (Non-Utility)'!Q34</f>
        <v>91.672000000000025</v>
      </c>
      <c r="F20" s="626"/>
      <c r="G20" s="625">
        <v>2.08</v>
      </c>
      <c r="I20" s="292">
        <f t="shared" si="1"/>
        <v>2.268958896936905E-2</v>
      </c>
      <c r="J20" s="282"/>
      <c r="K20" s="4"/>
      <c r="L20" s="627" t="s">
        <v>377</v>
      </c>
    </row>
    <row r="21" spans="1:12">
      <c r="A21" s="13">
        <f t="shared" si="0"/>
        <v>14</v>
      </c>
      <c r="B21" s="628" t="s">
        <v>379</v>
      </c>
      <c r="C21" s="628" t="s">
        <v>380</v>
      </c>
      <c r="D21" s="624"/>
      <c r="E21" s="625">
        <f>'Stock Price (Non-Utility)'!S34</f>
        <v>986.38466666666659</v>
      </c>
      <c r="F21" s="626"/>
      <c r="G21" s="625">
        <v>5.2</v>
      </c>
      <c r="I21" s="292">
        <f t="shared" si="1"/>
        <v>5.271777001129377E-3</v>
      </c>
      <c r="J21" s="282"/>
      <c r="K21" s="4"/>
      <c r="L21" s="627" t="s">
        <v>381</v>
      </c>
    </row>
    <row r="22" spans="1:12">
      <c r="A22" s="13">
        <f t="shared" si="0"/>
        <v>15</v>
      </c>
      <c r="B22" s="628" t="s">
        <v>1371</v>
      </c>
      <c r="C22" s="628" t="s">
        <v>1376</v>
      </c>
      <c r="D22" s="624"/>
      <c r="E22" s="625">
        <f>'Stock Price (Non-Utility)'!T34</f>
        <v>146.49766666666662</v>
      </c>
      <c r="F22" s="626"/>
      <c r="G22" s="625">
        <v>0.76</v>
      </c>
      <c r="I22" s="292">
        <f t="shared" si="1"/>
        <v>5.1877959375917267E-3</v>
      </c>
      <c r="J22" s="282"/>
      <c r="K22" s="4"/>
      <c r="L22" s="627" t="s">
        <v>722</v>
      </c>
    </row>
    <row r="23" spans="1:12">
      <c r="A23" s="13">
        <f t="shared" si="0"/>
        <v>16</v>
      </c>
      <c r="B23" s="628" t="s">
        <v>382</v>
      </c>
      <c r="C23" s="628" t="s">
        <v>363</v>
      </c>
      <c r="D23" s="624"/>
      <c r="E23" s="625">
        <f>'Stock Price (Non-Utility)'!U34</f>
        <v>329.9906666666667</v>
      </c>
      <c r="F23" s="626"/>
      <c r="G23" s="625">
        <v>2.6</v>
      </c>
      <c r="I23" s="292">
        <f t="shared" si="1"/>
        <v>7.879010719495096E-3</v>
      </c>
      <c r="J23" s="282"/>
      <c r="K23" s="4"/>
      <c r="L23" s="627" t="s">
        <v>383</v>
      </c>
    </row>
    <row r="24" spans="1:12">
      <c r="A24" s="13">
        <f t="shared" si="0"/>
        <v>17</v>
      </c>
      <c r="B24" s="628" t="s">
        <v>1469</v>
      </c>
      <c r="C24" s="628" t="s">
        <v>404</v>
      </c>
      <c r="D24" s="624"/>
      <c r="E24" s="625">
        <f>'Stock Price (Non-Utility)'!V34</f>
        <v>272.16833333333329</v>
      </c>
      <c r="F24" s="626"/>
      <c r="G24" s="625">
        <v>6</v>
      </c>
      <c r="I24" s="292">
        <f t="shared" si="1"/>
        <v>2.2045180372441079E-2</v>
      </c>
      <c r="J24" s="282"/>
      <c r="K24" s="4"/>
      <c r="L24" s="627" t="s">
        <v>786</v>
      </c>
    </row>
    <row r="25" spans="1:12">
      <c r="A25" s="13">
        <f t="shared" si="0"/>
        <v>18</v>
      </c>
      <c r="B25" s="628" t="s">
        <v>1470</v>
      </c>
      <c r="C25" s="628" t="s">
        <v>384</v>
      </c>
      <c r="D25" s="624"/>
      <c r="E25" s="625">
        <f>'Stock Price (Non-Utility)'!W34</f>
        <v>56.135333333333342</v>
      </c>
      <c r="F25" s="626"/>
      <c r="G25" s="625">
        <v>2.4300000000000002</v>
      </c>
      <c r="I25" s="292">
        <f t="shared" si="1"/>
        <v>4.3288243886797376E-2</v>
      </c>
      <c r="J25" s="282"/>
      <c r="K25" s="4"/>
      <c r="L25" s="627" t="s">
        <v>385</v>
      </c>
    </row>
    <row r="26" spans="1:12">
      <c r="A26" s="13">
        <f t="shared" si="0"/>
        <v>19</v>
      </c>
      <c r="B26" s="628" t="s">
        <v>386</v>
      </c>
      <c r="C26" s="628" t="s">
        <v>361</v>
      </c>
      <c r="D26" s="624"/>
      <c r="E26" s="625">
        <f>'Stock Price (Non-Utility)'!X34</f>
        <v>103.24800000000002</v>
      </c>
      <c r="F26" s="626"/>
      <c r="G26" s="625">
        <v>3.16</v>
      </c>
      <c r="I26" s="292">
        <f t="shared" si="1"/>
        <v>3.0605919727258634E-2</v>
      </c>
      <c r="J26" s="282"/>
      <c r="K26" s="4"/>
      <c r="L26" s="627" t="s">
        <v>387</v>
      </c>
    </row>
    <row r="27" spans="1:12">
      <c r="A27" s="13">
        <f t="shared" si="0"/>
        <v>20</v>
      </c>
      <c r="B27" s="628" t="s">
        <v>388</v>
      </c>
      <c r="C27" s="628" t="s">
        <v>384</v>
      </c>
      <c r="D27" s="624"/>
      <c r="E27" s="625">
        <f>'Stock Price (Non-Utility)'!Y34</f>
        <v>165.19800000000001</v>
      </c>
      <c r="F27" s="626"/>
      <c r="G27" s="625">
        <v>5.63</v>
      </c>
      <c r="I27" s="292">
        <f t="shared" si="1"/>
        <v>3.4080315742321336E-2</v>
      </c>
      <c r="J27" s="282"/>
      <c r="K27" s="4"/>
      <c r="L27" s="627" t="s">
        <v>389</v>
      </c>
    </row>
    <row r="28" spans="1:12">
      <c r="A28" s="13">
        <f t="shared" si="0"/>
        <v>21</v>
      </c>
      <c r="B28" s="628" t="s">
        <v>390</v>
      </c>
      <c r="C28" s="628" t="s">
        <v>391</v>
      </c>
      <c r="D28" s="624"/>
      <c r="E28" s="625">
        <f>'Stock Price (Non-Utility)'!Z34</f>
        <v>359.98000000000013</v>
      </c>
      <c r="F28" s="626"/>
      <c r="G28" s="625">
        <v>9.1999999999999993</v>
      </c>
      <c r="I28" s="292">
        <f t="shared" si="1"/>
        <v>2.5556975387521517E-2</v>
      </c>
      <c r="J28" s="282"/>
      <c r="K28" s="4"/>
      <c r="L28" s="627" t="s">
        <v>392</v>
      </c>
    </row>
    <row r="29" spans="1:12">
      <c r="A29" s="13">
        <f t="shared" si="0"/>
        <v>22</v>
      </c>
      <c r="B29" s="628" t="s">
        <v>393</v>
      </c>
      <c r="C29" s="628" t="s">
        <v>384</v>
      </c>
      <c r="D29" s="624"/>
      <c r="E29" s="625">
        <f>'Stock Price (Non-Utility)'!AA34</f>
        <v>29.832666666666665</v>
      </c>
      <c r="F29" s="626"/>
      <c r="G29" s="625">
        <v>1.1599999999999999</v>
      </c>
      <c r="I29" s="292">
        <f t="shared" si="1"/>
        <v>3.8883550470401575E-2</v>
      </c>
      <c r="J29" s="282"/>
      <c r="K29" s="4"/>
      <c r="L29" s="627" t="s">
        <v>394</v>
      </c>
    </row>
    <row r="30" spans="1:12">
      <c r="A30" s="13">
        <f t="shared" si="0"/>
        <v>23</v>
      </c>
      <c r="B30" s="628" t="s">
        <v>1372</v>
      </c>
      <c r="C30" s="628" t="s">
        <v>417</v>
      </c>
      <c r="D30" s="624"/>
      <c r="E30" s="625">
        <f>'Stock Price (Non-Utility)'!AE34</f>
        <v>243.93899999999996</v>
      </c>
      <c r="F30" s="626"/>
      <c r="G30" s="625">
        <v>7.2</v>
      </c>
      <c r="I30" s="292">
        <f t="shared" si="1"/>
        <v>2.9515575615215284E-2</v>
      </c>
      <c r="J30" s="282"/>
      <c r="K30" s="4"/>
      <c r="L30" s="627" t="s">
        <v>840</v>
      </c>
    </row>
    <row r="31" spans="1:12">
      <c r="A31" s="13">
        <f t="shared" si="0"/>
        <v>24</v>
      </c>
      <c r="B31" s="628" t="s">
        <v>397</v>
      </c>
      <c r="C31" s="628" t="s">
        <v>361</v>
      </c>
      <c r="D31" s="624"/>
      <c r="E31" s="625">
        <f>'Stock Price (Non-Utility)'!AF34</f>
        <v>153.60333333333332</v>
      </c>
      <c r="F31" s="626"/>
      <c r="G31" s="625">
        <v>5.2</v>
      </c>
      <c r="I31" s="292">
        <f t="shared" si="1"/>
        <v>3.3853432000173614E-2</v>
      </c>
      <c r="J31" s="282"/>
      <c r="K31" s="4"/>
      <c r="L31" s="627" t="s">
        <v>398</v>
      </c>
    </row>
    <row r="32" spans="1:12">
      <c r="A32" s="13">
        <f t="shared" si="0"/>
        <v>25</v>
      </c>
      <c r="B32" s="628" t="s">
        <v>399</v>
      </c>
      <c r="C32" s="628" t="s">
        <v>369</v>
      </c>
      <c r="D32" s="624"/>
      <c r="E32" s="625">
        <f>'Stock Price (Non-Utility)'!AG34</f>
        <v>135.36066666666665</v>
      </c>
      <c r="F32" s="626"/>
      <c r="G32" s="625">
        <v>5.04</v>
      </c>
      <c r="I32" s="292">
        <f t="shared" si="1"/>
        <v>3.7233859171300385E-2</v>
      </c>
      <c r="J32" s="282"/>
      <c r="K32" s="4"/>
      <c r="L32" s="627" t="s">
        <v>400</v>
      </c>
    </row>
    <row r="33" spans="1:12">
      <c r="A33" s="13">
        <f t="shared" si="0"/>
        <v>26</v>
      </c>
      <c r="B33" s="628" t="s">
        <v>401</v>
      </c>
      <c r="C33" s="628" t="s">
        <v>361</v>
      </c>
      <c r="D33" s="624"/>
      <c r="E33" s="625">
        <f>'Stock Price (Non-Utility)'!AH34</f>
        <v>785.47</v>
      </c>
      <c r="F33" s="626"/>
      <c r="G33" s="625">
        <v>6</v>
      </c>
      <c r="I33" s="292">
        <f t="shared" si="1"/>
        <v>7.6387385896342311E-3</v>
      </c>
      <c r="J33" s="282"/>
      <c r="K33" s="4"/>
      <c r="L33" s="627" t="s">
        <v>402</v>
      </c>
    </row>
    <row r="34" spans="1:12">
      <c r="A34" s="13">
        <f t="shared" si="0"/>
        <v>27</v>
      </c>
      <c r="B34" s="628" t="s">
        <v>403</v>
      </c>
      <c r="C34" s="628" t="s">
        <v>404</v>
      </c>
      <c r="D34" s="624"/>
      <c r="E34" s="625">
        <f>'Stock Price (Non-Utility)'!AI34</f>
        <v>467.25933333333336</v>
      </c>
      <c r="F34" s="626"/>
      <c r="G34" s="625">
        <v>13.2</v>
      </c>
      <c r="I34" s="292">
        <f t="shared" si="1"/>
        <v>2.824983699273351E-2</v>
      </c>
      <c r="J34" s="282"/>
      <c r="K34" s="4"/>
      <c r="L34" s="627" t="s">
        <v>405</v>
      </c>
    </row>
    <row r="35" spans="1:12">
      <c r="A35" s="13">
        <f t="shared" si="0"/>
        <v>28</v>
      </c>
      <c r="B35" s="628" t="s">
        <v>406</v>
      </c>
      <c r="C35" s="628" t="s">
        <v>363</v>
      </c>
      <c r="D35" s="624"/>
      <c r="E35" s="625">
        <f>'Stock Price (Non-Utility)'!AJ34</f>
        <v>225.51599999999999</v>
      </c>
      <c r="F35" s="626"/>
      <c r="G35" s="625">
        <v>3.36</v>
      </c>
      <c r="I35" s="292">
        <f t="shared" si="1"/>
        <v>1.4899164582557335E-2</v>
      </c>
      <c r="J35" s="282"/>
      <c r="K35" s="4"/>
      <c r="L35" s="627" t="s">
        <v>407</v>
      </c>
    </row>
    <row r="36" spans="1:12">
      <c r="A36" s="13">
        <f t="shared" si="0"/>
        <v>29</v>
      </c>
      <c r="B36" s="628" t="s">
        <v>409</v>
      </c>
      <c r="C36" s="628" t="s">
        <v>410</v>
      </c>
      <c r="D36" s="624"/>
      <c r="E36" s="625">
        <f>'Stock Price (Non-Utility)'!AK34</f>
        <v>312.84500000000003</v>
      </c>
      <c r="F36" s="626"/>
      <c r="G36" s="625">
        <v>7.28</v>
      </c>
      <c r="I36" s="292">
        <f t="shared" si="1"/>
        <v>2.3270309578225637E-2</v>
      </c>
      <c r="J36" s="282"/>
      <c r="K36" s="4"/>
      <c r="L36" s="627" t="s">
        <v>411</v>
      </c>
    </row>
    <row r="37" spans="1:12">
      <c r="A37" s="13">
        <f t="shared" si="0"/>
        <v>30</v>
      </c>
      <c r="B37" s="628" t="s">
        <v>412</v>
      </c>
      <c r="C37" s="628" t="s">
        <v>349</v>
      </c>
      <c r="D37" s="624"/>
      <c r="E37" s="625">
        <f>'Stock Price (Non-Utility)'!AL34</f>
        <v>695.3760000000002</v>
      </c>
      <c r="F37" s="626"/>
      <c r="G37" s="625">
        <v>3.11</v>
      </c>
      <c r="I37" s="292">
        <f t="shared" si="1"/>
        <v>4.4724005430155757E-3</v>
      </c>
      <c r="J37" s="282"/>
      <c r="K37" s="4"/>
      <c r="L37" s="627" t="s">
        <v>413</v>
      </c>
    </row>
    <row r="38" spans="1:12">
      <c r="A38" s="13">
        <f t="shared" si="0"/>
        <v>31</v>
      </c>
      <c r="B38" s="628" t="s">
        <v>414</v>
      </c>
      <c r="C38" s="628" t="s">
        <v>361</v>
      </c>
      <c r="D38" s="624"/>
      <c r="E38" s="625">
        <f>'Stock Price (Non-Utility)'!AM34</f>
        <v>79.390333333333331</v>
      </c>
      <c r="F38" s="626"/>
      <c r="G38" s="625">
        <v>3.24</v>
      </c>
      <c r="I38" s="292">
        <f t="shared" si="1"/>
        <v>4.0811013935365771E-2</v>
      </c>
      <c r="J38" s="282"/>
      <c r="L38" s="627" t="s">
        <v>415</v>
      </c>
    </row>
    <row r="39" spans="1:12">
      <c r="A39" s="13">
        <f t="shared" si="0"/>
        <v>32</v>
      </c>
      <c r="B39" s="628" t="s">
        <v>416</v>
      </c>
      <c r="C39" s="628" t="s">
        <v>417</v>
      </c>
      <c r="D39" s="624"/>
      <c r="E39" s="625">
        <f>'Stock Price (Non-Utility)'!AN34</f>
        <v>406.78666666666675</v>
      </c>
      <c r="F39" s="626"/>
      <c r="G39" s="625">
        <v>3.5</v>
      </c>
      <c r="I39" s="292">
        <f t="shared" si="1"/>
        <v>8.6040184863482895E-3</v>
      </c>
      <c r="L39" s="627" t="s">
        <v>418</v>
      </c>
    </row>
    <row r="40" spans="1:12">
      <c r="A40" s="13">
        <f t="shared" si="0"/>
        <v>33</v>
      </c>
      <c r="B40" s="628" t="s">
        <v>419</v>
      </c>
      <c r="C40" s="628" t="s">
        <v>384</v>
      </c>
      <c r="D40" s="624"/>
      <c r="E40" s="625">
        <f>'Stock Price (Non-Utility)'!AO34</f>
        <v>66.414999999999992</v>
      </c>
      <c r="F40" s="626"/>
      <c r="G40" s="625">
        <v>1.88</v>
      </c>
      <c r="I40" s="292">
        <f t="shared" si="1"/>
        <v>2.830685839042385E-2</v>
      </c>
      <c r="J40" s="282"/>
      <c r="L40" s="627" t="s">
        <v>420</v>
      </c>
    </row>
    <row r="41" spans="1:12">
      <c r="A41" s="13">
        <f t="shared" si="0"/>
        <v>34</v>
      </c>
      <c r="B41" s="628" t="s">
        <v>421</v>
      </c>
      <c r="C41" s="628" t="s">
        <v>422</v>
      </c>
      <c r="D41" s="624"/>
      <c r="E41" s="625">
        <f>'Stock Price (Non-Utility)'!AP34</f>
        <v>598.18500000000006</v>
      </c>
      <c r="F41" s="626"/>
      <c r="G41" s="625">
        <v>11</v>
      </c>
      <c r="I41" s="292">
        <f t="shared" si="1"/>
        <v>1.8388959937143189E-2</v>
      </c>
      <c r="J41" s="282"/>
      <c r="L41" s="627" t="s">
        <v>423</v>
      </c>
    </row>
    <row r="42" spans="1:12">
      <c r="A42" s="13">
        <f t="shared" si="0"/>
        <v>35</v>
      </c>
      <c r="B42" s="628" t="s">
        <v>424</v>
      </c>
      <c r="C42" s="628" t="s">
        <v>404</v>
      </c>
      <c r="D42" s="624"/>
      <c r="E42" s="625">
        <f>'Stock Price (Non-Utility)'!AQ34</f>
        <v>492.22133333333323</v>
      </c>
      <c r="F42" s="626"/>
      <c r="G42" s="625">
        <v>8.84</v>
      </c>
      <c r="I42" s="292">
        <f t="shared" si="1"/>
        <v>1.7959400378149672E-2</v>
      </c>
      <c r="J42" s="282"/>
      <c r="L42" s="627" t="s">
        <v>425</v>
      </c>
    </row>
    <row r="43" spans="1:12">
      <c r="A43" s="13">
        <f t="shared" si="0"/>
        <v>36</v>
      </c>
      <c r="B43" s="628" t="s">
        <v>427</v>
      </c>
      <c r="C43" s="628" t="s">
        <v>366</v>
      </c>
      <c r="D43" s="624"/>
      <c r="E43" s="625">
        <f>'Stock Price (Non-Utility)'!AR34</f>
        <v>136.64950000000002</v>
      </c>
      <c r="F43" s="626"/>
      <c r="G43" s="625">
        <v>5.42</v>
      </c>
      <c r="I43" s="292">
        <f t="shared" si="1"/>
        <v>3.966351871027702E-2</v>
      </c>
      <c r="J43" s="282"/>
      <c r="L43" s="627" t="s">
        <v>428</v>
      </c>
    </row>
    <row r="44" spans="1:12">
      <c r="A44" s="13">
        <f t="shared" si="0"/>
        <v>37</v>
      </c>
      <c r="B44" s="628" t="s">
        <v>429</v>
      </c>
      <c r="C44" s="628" t="s">
        <v>369</v>
      </c>
      <c r="D44" s="624"/>
      <c r="E44" s="625">
        <f>'Stock Price (Non-Utility)'!AS34</f>
        <v>162.49699999999999</v>
      </c>
      <c r="F44" s="626"/>
      <c r="G44" s="625">
        <v>4.2300000000000004</v>
      </c>
      <c r="I44" s="292">
        <f t="shared" si="1"/>
        <v>2.6031249807688762E-2</v>
      </c>
      <c r="J44" s="282"/>
      <c r="L44" s="627" t="s">
        <v>430</v>
      </c>
    </row>
    <row r="45" spans="1:12">
      <c r="A45" s="13">
        <f t="shared" si="0"/>
        <v>38</v>
      </c>
      <c r="B45" s="628" t="s">
        <v>431</v>
      </c>
      <c r="C45" s="628" t="s">
        <v>432</v>
      </c>
      <c r="D45" s="624"/>
      <c r="E45" s="625">
        <f>'Stock Price (Non-Utility)'!AT34</f>
        <v>275.09033333333332</v>
      </c>
      <c r="F45" s="626"/>
      <c r="G45" s="625">
        <v>0.4</v>
      </c>
      <c r="I45" s="292">
        <f t="shared" si="1"/>
        <v>1.4540678152994593E-3</v>
      </c>
      <c r="J45" s="282"/>
      <c r="L45" s="627" t="s">
        <v>433</v>
      </c>
    </row>
    <row r="46" spans="1:12">
      <c r="A46" s="13">
        <f t="shared" si="0"/>
        <v>39</v>
      </c>
      <c r="B46" s="628" t="s">
        <v>434</v>
      </c>
      <c r="C46" s="628" t="s">
        <v>435</v>
      </c>
      <c r="D46" s="624"/>
      <c r="E46" s="625">
        <f>'Stock Price (Non-Utility)'!AU34</f>
        <v>244.0683333333333</v>
      </c>
      <c r="G46" s="625">
        <v>2.3199999999999998</v>
      </c>
      <c r="I46" s="292">
        <f t="shared" si="1"/>
        <v>9.5055346521807429E-3</v>
      </c>
      <c r="J46" s="282"/>
      <c r="L46" s="627" t="s">
        <v>436</v>
      </c>
    </row>
    <row r="47" spans="1:12">
      <c r="A47" s="13">
        <f t="shared" si="0"/>
        <v>40</v>
      </c>
      <c r="B47" s="628" t="s">
        <v>437</v>
      </c>
      <c r="C47" s="628" t="s">
        <v>417</v>
      </c>
      <c r="D47" s="624"/>
      <c r="E47" s="625">
        <f>'Stock Price (Non-Utility)'!AV34</f>
        <v>560.99133333333339</v>
      </c>
      <c r="G47" s="625">
        <v>3.47</v>
      </c>
      <c r="I47" s="292">
        <f t="shared" si="1"/>
        <v>6.1854788012173688E-3</v>
      </c>
      <c r="J47" s="282"/>
      <c r="L47" s="627" t="s">
        <v>438</v>
      </c>
    </row>
    <row r="48" spans="1:12">
      <c r="A48" s="13">
        <f t="shared" si="0"/>
        <v>41</v>
      </c>
      <c r="B48" s="628" t="s">
        <v>441</v>
      </c>
      <c r="C48" s="628" t="s">
        <v>349</v>
      </c>
      <c r="D48" s="624"/>
      <c r="E48" s="625">
        <f>'Stock Price (Non-Utility)'!AW34</f>
        <v>424.69733333333335</v>
      </c>
      <c r="G48" s="625">
        <v>1.72</v>
      </c>
      <c r="I48" s="292">
        <f t="shared" si="1"/>
        <v>4.0499430182435806E-3</v>
      </c>
      <c r="J48" s="282"/>
      <c r="L48" s="627" t="s">
        <v>442</v>
      </c>
    </row>
    <row r="49" spans="1:12">
      <c r="A49" s="13">
        <f t="shared" si="0"/>
        <v>42</v>
      </c>
      <c r="B49" s="628" t="s">
        <v>1471</v>
      </c>
      <c r="C49" s="628" t="s">
        <v>1377</v>
      </c>
      <c r="D49" s="624"/>
      <c r="E49" s="625">
        <f>'Stock Price (Non-Utility)'!AX34</f>
        <v>249.52133333333339</v>
      </c>
      <c r="G49" s="625">
        <v>3.64</v>
      </c>
      <c r="I49" s="292">
        <f t="shared" si="1"/>
        <v>1.4587931025269714E-2</v>
      </c>
      <c r="J49" s="282"/>
      <c r="L49" s="627" t="s">
        <v>1135</v>
      </c>
    </row>
    <row r="50" spans="1:12">
      <c r="A50" s="13">
        <f t="shared" si="0"/>
        <v>43</v>
      </c>
      <c r="B50" s="628" t="s">
        <v>1373</v>
      </c>
      <c r="C50" s="628" t="s">
        <v>1377</v>
      </c>
      <c r="D50" s="624"/>
      <c r="E50" s="625">
        <f>'Stock Price (Non-Utility)'!AZ34</f>
        <v>43.309333333333335</v>
      </c>
      <c r="G50" s="625">
        <v>2.72</v>
      </c>
      <c r="I50" s="292">
        <f t="shared" si="1"/>
        <v>6.2804014531124927E-2</v>
      </c>
      <c r="J50" s="282"/>
      <c r="L50" s="627" t="s">
        <v>1179</v>
      </c>
    </row>
    <row r="51" spans="1:12">
      <c r="A51" s="13">
        <f t="shared" si="0"/>
        <v>44</v>
      </c>
      <c r="B51" s="628" t="s">
        <v>445</v>
      </c>
      <c r="C51" s="628" t="s">
        <v>380</v>
      </c>
      <c r="D51" s="624"/>
      <c r="E51" s="625">
        <f>'Stock Price (Non-Utility)'!BA34</f>
        <v>94.753</v>
      </c>
      <c r="G51" s="625">
        <v>0.94</v>
      </c>
      <c r="I51" s="292">
        <f t="shared" si="1"/>
        <v>9.9205302206790275E-3</v>
      </c>
      <c r="J51" s="282"/>
      <c r="L51" s="627" t="s">
        <v>446</v>
      </c>
    </row>
    <row r="52" spans="1:12">
      <c r="A52" s="13">
        <f t="shared" si="0"/>
        <v>45</v>
      </c>
      <c r="B52" s="628" t="s">
        <v>447</v>
      </c>
      <c r="C52" s="628" t="s">
        <v>435</v>
      </c>
      <c r="D52" s="624"/>
      <c r="E52" s="625">
        <f>'Stock Price (Non-Utility)'!BB34</f>
        <v>229.08566666666667</v>
      </c>
      <c r="F52" s="626"/>
      <c r="G52" s="625">
        <v>3.3</v>
      </c>
      <c r="I52" s="292">
        <f t="shared" si="1"/>
        <v>1.4405091545084297E-2</v>
      </c>
      <c r="J52" s="282"/>
      <c r="L52" s="627" t="s">
        <v>448</v>
      </c>
    </row>
    <row r="53" spans="1:12" ht="4.1500000000000004" customHeight="1">
      <c r="A53" s="303"/>
      <c r="B53" s="13"/>
      <c r="C53" s="278"/>
      <c r="D53" s="278"/>
      <c r="E53" s="302"/>
      <c r="F53" s="304"/>
      <c r="G53" s="302"/>
      <c r="H53" s="180"/>
      <c r="I53" s="292"/>
      <c r="J53" s="282"/>
      <c r="L53" s="298"/>
    </row>
    <row r="54" spans="1:12" ht="15.75" customHeight="1">
      <c r="A54" s="303"/>
      <c r="B54" s="11" t="s">
        <v>243</v>
      </c>
      <c r="C54" s="278"/>
      <c r="D54" s="278"/>
      <c r="E54" s="302"/>
      <c r="F54" s="304"/>
      <c r="G54" s="302"/>
      <c r="H54" s="180"/>
      <c r="I54" s="305">
        <f>AVERAGE(I8:I52)</f>
        <v>2.2827737177858555E-2</v>
      </c>
      <c r="J54" s="282"/>
    </row>
    <row r="55" spans="1:12">
      <c r="A55" s="284"/>
      <c r="C55" s="278"/>
      <c r="D55" s="278"/>
      <c r="E55" s="278"/>
      <c r="F55" s="278"/>
      <c r="G55" s="629"/>
      <c r="H55" s="278"/>
      <c r="I55" s="192"/>
      <c r="J55" s="171"/>
      <c r="K55" s="239"/>
    </row>
    <row r="56" spans="1:12" s="8" customFormat="1" ht="13">
      <c r="A56" s="296" t="s">
        <v>21</v>
      </c>
      <c r="B56" s="306" t="str">
        <f>'Stock Price (Non-Utility)'!B37</f>
        <v>Average of closing prices for 30 trading days ended May 20, 2025.</v>
      </c>
      <c r="C56" s="630"/>
      <c r="D56" s="630"/>
      <c r="E56" s="630"/>
      <c r="F56" s="630"/>
      <c r="G56" s="630"/>
      <c r="H56" s="630"/>
      <c r="I56" s="630"/>
      <c r="K56" s="307"/>
    </row>
    <row r="57" spans="1:12" s="8" customFormat="1" ht="13">
      <c r="A57" s="296" t="s">
        <v>22</v>
      </c>
      <c r="B57" s="266" t="s">
        <v>1478</v>
      </c>
      <c r="K57" s="307"/>
    </row>
  </sheetData>
  <printOptions horizontalCentered="1"/>
  <pageMargins left="0.5" right="0.5" top="0.5" bottom="0.25" header="0.5" footer="0.5"/>
  <pageSetup scale="87"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C518E-2ED9-4B50-B5C1-BFC648DDC578}">
  <sheetPr codeName="Sheet22">
    <pageSetUpPr fitToPage="1"/>
  </sheetPr>
  <dimension ref="A1:O55"/>
  <sheetViews>
    <sheetView view="pageBreakPreview" zoomScaleNormal="100" zoomScaleSheetLayoutView="100" workbookViewId="0"/>
  </sheetViews>
  <sheetFormatPr defaultColWidth="9.26953125" defaultRowHeight="15.5"/>
  <cols>
    <col min="1" max="1" width="4.453125" style="162" customWidth="1"/>
    <col min="2" max="2" width="24.26953125" style="4" customWidth="1"/>
    <col min="3" max="3" width="8.26953125" style="4" customWidth="1"/>
    <col min="4" max="4" width="8.54296875" style="289" customWidth="1"/>
    <col min="5" max="5" width="4.26953125" style="4" customWidth="1"/>
    <col min="6" max="6" width="9.81640625" style="4" customWidth="1"/>
    <col min="7" max="7" width="4.26953125" style="210" customWidth="1"/>
    <col min="8" max="8" width="8.81640625" style="210" customWidth="1"/>
    <col min="9" max="9" width="3.7265625" style="4" customWidth="1"/>
    <col min="10" max="10" width="8" style="4" customWidth="1"/>
    <col min="11" max="11" width="9.26953125" style="180"/>
    <col min="12" max="16384" width="9.26953125" style="4"/>
  </cols>
  <sheetData>
    <row r="1" spans="1:11">
      <c r="A1" s="268" t="str">
        <f>'Exhibit List'!C20</f>
        <v>DCF MODEL - NON-UTILITY GROUP</v>
      </c>
      <c r="B1" s="216"/>
      <c r="C1" s="216"/>
      <c r="D1" s="239"/>
      <c r="E1" s="280"/>
      <c r="F1" s="280"/>
      <c r="I1" s="215" t="str">
        <f>'Exhibit List'!B20</f>
        <v>Exhibit AMM-12</v>
      </c>
      <c r="J1" s="188"/>
    </row>
    <row r="2" spans="1:11">
      <c r="A2" s="268"/>
      <c r="B2" s="270"/>
      <c r="C2" s="216"/>
      <c r="D2" s="239"/>
      <c r="E2" s="280"/>
      <c r="F2" s="280"/>
      <c r="I2" s="215" t="s">
        <v>246</v>
      </c>
      <c r="J2" s="188"/>
    </row>
    <row r="3" spans="1:11">
      <c r="A3" s="271" t="str">
        <f>'Exhibit List'!D20</f>
        <v>GROWTH RATES</v>
      </c>
      <c r="B3" s="216"/>
      <c r="C3" s="216"/>
      <c r="D3" s="239"/>
      <c r="E3" s="280"/>
      <c r="F3" s="280"/>
      <c r="I3" s="216"/>
    </row>
    <row r="4" spans="1:11">
      <c r="A4" s="17"/>
      <c r="D4" s="290"/>
      <c r="E4" s="7"/>
      <c r="F4" s="7"/>
    </row>
    <row r="5" spans="1:11" s="180" customFormat="1">
      <c r="A5" s="162"/>
      <c r="D5" s="127" t="s">
        <v>21</v>
      </c>
      <c r="F5" s="291" t="s">
        <v>22</v>
      </c>
      <c r="G5" s="292"/>
      <c r="H5" s="180" t="s">
        <v>23</v>
      </c>
    </row>
    <row r="6" spans="1:11">
      <c r="B6" s="275" t="s">
        <v>346</v>
      </c>
      <c r="C6" s="275"/>
      <c r="D6" s="293" t="s">
        <v>249</v>
      </c>
      <c r="E6" s="190"/>
      <c r="F6" s="276" t="s">
        <v>96</v>
      </c>
      <c r="G6" s="276"/>
      <c r="H6" s="276" t="s">
        <v>97</v>
      </c>
      <c r="K6" s="226"/>
    </row>
    <row r="7" spans="1:11">
      <c r="A7" s="162">
        <f t="shared" ref="A7:A51" si="0">A6+1</f>
        <v>1</v>
      </c>
      <c r="B7" s="216" t="str">
        <f>'12 (1)'!B8</f>
        <v>Abbott Labs.</v>
      </c>
      <c r="C7" s="631"/>
      <c r="D7" s="632">
        <v>0.06</v>
      </c>
      <c r="E7" s="633"/>
      <c r="F7" s="634">
        <v>0.10100000000000001</v>
      </c>
      <c r="G7" s="294"/>
      <c r="H7" s="634">
        <v>0.1028</v>
      </c>
      <c r="K7" s="627" t="s">
        <v>350</v>
      </c>
    </row>
    <row r="8" spans="1:11">
      <c r="A8" s="162">
        <f t="shared" si="0"/>
        <v>2</v>
      </c>
      <c r="B8" s="216" t="str">
        <f>'12 (1)'!B9</f>
        <v>AbbVie Inc.</v>
      </c>
      <c r="D8" s="632">
        <v>0.05</v>
      </c>
      <c r="F8" s="634">
        <v>0.16500000000000001</v>
      </c>
      <c r="G8" s="4"/>
      <c r="H8" s="634">
        <v>0.1226</v>
      </c>
      <c r="K8" s="627" t="s">
        <v>538</v>
      </c>
    </row>
    <row r="9" spans="1:11">
      <c r="A9" s="162">
        <f t="shared" si="0"/>
        <v>3</v>
      </c>
      <c r="B9" s="216" t="str">
        <f>'12 (1)'!B10</f>
        <v>Amdocs Ltd.</v>
      </c>
      <c r="C9" s="631"/>
      <c r="D9" s="632">
        <v>6.5000000000000002E-2</v>
      </c>
      <c r="E9" s="633"/>
      <c r="F9" s="634">
        <v>8.5000000000000006E-2</v>
      </c>
      <c r="G9" s="294"/>
      <c r="H9" s="634">
        <v>9.8100000000000007E-2</v>
      </c>
      <c r="K9" s="627" t="s">
        <v>354</v>
      </c>
    </row>
    <row r="10" spans="1:11">
      <c r="A10" s="162">
        <f t="shared" si="0"/>
        <v>4</v>
      </c>
      <c r="B10" s="216" t="str">
        <f>'12 (1)'!B11</f>
        <v>Amgen</v>
      </c>
      <c r="C10" s="631"/>
      <c r="D10" s="632">
        <v>5.5E-2</v>
      </c>
      <c r="E10" s="633"/>
      <c r="F10" s="634">
        <v>5.0999999999999997E-2</v>
      </c>
      <c r="G10" s="294"/>
      <c r="H10" s="634">
        <v>5.3100000000000001E-2</v>
      </c>
      <c r="K10" s="627" t="s">
        <v>357</v>
      </c>
    </row>
    <row r="11" spans="1:11">
      <c r="A11" s="162">
        <f t="shared" si="0"/>
        <v>5</v>
      </c>
      <c r="B11" s="216" t="str">
        <f>'12 (1)'!B12</f>
        <v>AptarGroup</v>
      </c>
      <c r="C11" s="631"/>
      <c r="D11" s="632">
        <v>0.105</v>
      </c>
      <c r="E11" s="633"/>
      <c r="F11" s="634">
        <v>8.3000000000000004E-2</v>
      </c>
      <c r="G11" s="294"/>
      <c r="H11" s="634">
        <v>6.2300000000000001E-2</v>
      </c>
      <c r="K11" s="627" t="s">
        <v>1369</v>
      </c>
    </row>
    <row r="12" spans="1:11">
      <c r="A12" s="162">
        <f t="shared" si="0"/>
        <v>6</v>
      </c>
      <c r="B12" s="216" t="str">
        <f>'12 (1)'!B13</f>
        <v>Automatic Data Proc.</v>
      </c>
      <c r="D12" s="635">
        <v>7.0000000000000007E-2</v>
      </c>
      <c r="F12" s="634">
        <v>9.2999999999999999E-2</v>
      </c>
      <c r="G12" s="4"/>
      <c r="H12" s="634">
        <v>9.6600000000000005E-2</v>
      </c>
      <c r="K12" s="627" t="s">
        <v>547</v>
      </c>
    </row>
    <row r="13" spans="1:11">
      <c r="A13" s="162">
        <f t="shared" si="0"/>
        <v>7</v>
      </c>
      <c r="B13" s="216" t="str">
        <f>'12 (1)'!B14</f>
        <v>Bristol-Myers Squibb</v>
      </c>
      <c r="D13" s="632">
        <v>2.5000000000000001E-2</v>
      </c>
      <c r="F13" s="634">
        <v>0.46500000000000002</v>
      </c>
      <c r="G13" s="4"/>
      <c r="H13" s="634">
        <v>0.05</v>
      </c>
      <c r="K13" s="627" t="s">
        <v>362</v>
      </c>
    </row>
    <row r="14" spans="1:11">
      <c r="A14" s="162">
        <f t="shared" si="0"/>
        <v>8</v>
      </c>
      <c r="B14" s="216" t="str">
        <f>'12 (1)'!B15</f>
        <v>Brown-Forman 'B'</v>
      </c>
      <c r="C14" s="631"/>
      <c r="D14" s="632">
        <v>9.5000000000000001E-2</v>
      </c>
      <c r="E14" s="633"/>
      <c r="F14" s="634">
        <v>-2.3E-2</v>
      </c>
      <c r="G14" s="294"/>
      <c r="H14" s="634">
        <v>3.2000000000000001E-2</v>
      </c>
      <c r="K14" s="627" t="s">
        <v>367</v>
      </c>
    </row>
    <row r="15" spans="1:11">
      <c r="A15" s="162">
        <f t="shared" si="0"/>
        <v>9</v>
      </c>
      <c r="B15" s="216" t="str">
        <f>'12 (1)'!B16</f>
        <v>Church &amp; Dwight</v>
      </c>
      <c r="C15" s="631"/>
      <c r="D15" s="632">
        <v>0.06</v>
      </c>
      <c r="E15" s="633"/>
      <c r="F15" s="634">
        <v>0.06</v>
      </c>
      <c r="G15" s="294"/>
      <c r="H15" s="634">
        <v>7.1499999999999994E-2</v>
      </c>
      <c r="K15" s="627" t="s">
        <v>370</v>
      </c>
    </row>
    <row r="16" spans="1:11">
      <c r="A16" s="162">
        <f t="shared" si="0"/>
        <v>10</v>
      </c>
      <c r="B16" s="216" t="str">
        <f>'12 (1)'!B17</f>
        <v>Cisco Systems</v>
      </c>
      <c r="D16" s="632">
        <v>5.5E-2</v>
      </c>
      <c r="F16" s="634">
        <v>0.05</v>
      </c>
      <c r="G16" s="4"/>
      <c r="H16" s="634">
        <v>5.4100000000000002E-2</v>
      </c>
      <c r="K16" s="627" t="s">
        <v>373</v>
      </c>
    </row>
    <row r="17" spans="1:15">
      <c r="A17" s="162">
        <f t="shared" si="0"/>
        <v>11</v>
      </c>
      <c r="B17" s="216" t="str">
        <f>'12 (1)'!B18</f>
        <v>CME Group</v>
      </c>
      <c r="C17" s="631"/>
      <c r="D17" s="632">
        <v>5.5E-2</v>
      </c>
      <c r="E17" s="633"/>
      <c r="F17" s="634">
        <v>6.8000000000000005E-2</v>
      </c>
      <c r="G17" s="294"/>
      <c r="H17" s="634">
        <v>6.5299999999999997E-2</v>
      </c>
      <c r="K17" s="627" t="s">
        <v>658</v>
      </c>
      <c r="O17" s="4" t="s">
        <v>71</v>
      </c>
    </row>
    <row r="18" spans="1:15">
      <c r="A18" s="162">
        <f t="shared" si="0"/>
        <v>12</v>
      </c>
      <c r="B18" s="216" t="str">
        <f>'12 (1)'!B19</f>
        <v>Coca-Cola</v>
      </c>
      <c r="D18" s="632">
        <v>7.0000000000000007E-2</v>
      </c>
      <c r="F18" s="634">
        <v>6.0999999999999999E-2</v>
      </c>
      <c r="G18" s="4"/>
      <c r="H18" s="634">
        <v>6.3299999999999995E-2</v>
      </c>
      <c r="K18" s="627" t="s">
        <v>375</v>
      </c>
    </row>
    <row r="19" spans="1:15">
      <c r="A19" s="162">
        <f t="shared" si="0"/>
        <v>13</v>
      </c>
      <c r="B19" s="216" t="str">
        <f>'12 (1)'!B20</f>
        <v>Colgate-Palmolive</v>
      </c>
      <c r="C19" s="631"/>
      <c r="D19" s="632">
        <v>0.1</v>
      </c>
      <c r="E19" s="633"/>
      <c r="F19" s="634">
        <v>4.9000000000000002E-2</v>
      </c>
      <c r="G19" s="294"/>
      <c r="H19" s="634">
        <v>5.16E-2</v>
      </c>
      <c r="K19" s="627" t="s">
        <v>377</v>
      </c>
    </row>
    <row r="20" spans="1:15">
      <c r="A20" s="162">
        <f t="shared" si="0"/>
        <v>14</v>
      </c>
      <c r="B20" s="216" t="str">
        <f>'12 (1)'!B21</f>
        <v>Costco Wholesale</v>
      </c>
      <c r="C20" s="631"/>
      <c r="D20" s="632">
        <v>0.1</v>
      </c>
      <c r="E20" s="633"/>
      <c r="F20" s="634">
        <v>0.106</v>
      </c>
      <c r="G20" s="294"/>
      <c r="H20" s="634">
        <v>9.3600000000000003E-2</v>
      </c>
      <c r="K20" s="627" t="s">
        <v>381</v>
      </c>
      <c r="M20" s="295"/>
    </row>
    <row r="21" spans="1:15">
      <c r="A21" s="162">
        <f t="shared" si="0"/>
        <v>15</v>
      </c>
      <c r="B21" s="216" t="str">
        <f>'12 (1)'!B22</f>
        <v>Electronic Arts</v>
      </c>
      <c r="D21" s="632">
        <v>0.125</v>
      </c>
      <c r="F21" s="634">
        <v>0.10299999999999999</v>
      </c>
      <c r="G21" s="4"/>
      <c r="H21" s="634">
        <v>0.1202</v>
      </c>
      <c r="K21" s="627" t="s">
        <v>722</v>
      </c>
    </row>
    <row r="22" spans="1:15">
      <c r="A22" s="162">
        <f t="shared" si="0"/>
        <v>16</v>
      </c>
      <c r="B22" s="216" t="str">
        <f>'12 (1)'!B23</f>
        <v>Gallagher (Arthur J.)</v>
      </c>
      <c r="C22" s="631"/>
      <c r="D22" s="632">
        <v>0.14499999999999999</v>
      </c>
      <c r="E22" s="633"/>
      <c r="F22" s="634">
        <v>0.14599999999999999</v>
      </c>
      <c r="G22" s="294"/>
      <c r="H22" s="634" t="s">
        <v>36</v>
      </c>
      <c r="K22" s="627" t="s">
        <v>383</v>
      </c>
    </row>
    <row r="23" spans="1:15">
      <c r="A23" s="162">
        <f t="shared" si="0"/>
        <v>17</v>
      </c>
      <c r="B23" s="216" t="str">
        <f>'12 (1)'!B24</f>
        <v>Gen'l Dynamics</v>
      </c>
      <c r="C23" s="631"/>
      <c r="D23" s="632">
        <v>9.5000000000000001E-2</v>
      </c>
      <c r="E23" s="633"/>
      <c r="F23" s="634">
        <v>0.115</v>
      </c>
      <c r="G23" s="294"/>
      <c r="H23" s="634">
        <v>9.9599999999999994E-2</v>
      </c>
      <c r="K23" s="627" t="s">
        <v>786</v>
      </c>
      <c r="M23" s="295"/>
    </row>
    <row r="24" spans="1:15">
      <c r="A24" s="162">
        <f t="shared" si="0"/>
        <v>18</v>
      </c>
      <c r="B24" s="216" t="str">
        <f>'12 (1)'!B25</f>
        <v>Gen'l Mills</v>
      </c>
      <c r="C24" s="631"/>
      <c r="D24" s="632">
        <v>0.03</v>
      </c>
      <c r="E24" s="633"/>
      <c r="F24" s="634">
        <v>-1.7999999999999999E-2</v>
      </c>
      <c r="G24" s="294"/>
      <c r="H24" s="634">
        <v>0.1086</v>
      </c>
      <c r="K24" s="627" t="s">
        <v>385</v>
      </c>
    </row>
    <row r="25" spans="1:15">
      <c r="A25" s="162">
        <f t="shared" si="0"/>
        <v>19</v>
      </c>
      <c r="B25" s="216" t="str">
        <f>'12 (1)'!B26</f>
        <v>Gilead Sciences</v>
      </c>
      <c r="C25" s="631"/>
      <c r="D25" s="632">
        <v>6.5000000000000002E-2</v>
      </c>
      <c r="E25" s="633"/>
      <c r="F25" s="634">
        <v>0.28299999999999997</v>
      </c>
      <c r="G25" s="294"/>
      <c r="H25" s="634">
        <v>0.19489999999999999</v>
      </c>
      <c r="K25" s="627" t="s">
        <v>387</v>
      </c>
    </row>
    <row r="26" spans="1:15">
      <c r="A26" s="162">
        <f t="shared" si="0"/>
        <v>20</v>
      </c>
      <c r="B26" s="216" t="str">
        <f>'12 (1)'!B27</f>
        <v>Hershey Co.</v>
      </c>
      <c r="C26" s="631"/>
      <c r="D26" s="632">
        <v>0.05</v>
      </c>
      <c r="E26" s="633"/>
      <c r="F26" s="634">
        <v>-8.4000000000000005E-2</v>
      </c>
      <c r="G26" s="294"/>
      <c r="H26" s="634">
        <v>4.6100000000000002E-2</v>
      </c>
      <c r="K26" s="627" t="s">
        <v>389</v>
      </c>
      <c r="M26" s="295"/>
    </row>
    <row r="27" spans="1:15">
      <c r="A27" s="162">
        <f t="shared" si="0"/>
        <v>21</v>
      </c>
      <c r="B27" s="216" t="str">
        <f>'12 (1)'!B28</f>
        <v>Home Depot</v>
      </c>
      <c r="C27" s="631"/>
      <c r="D27" s="632">
        <v>0.06</v>
      </c>
      <c r="E27" s="633"/>
      <c r="F27" s="634">
        <v>5.0999999999999997E-2</v>
      </c>
      <c r="G27" s="294"/>
      <c r="H27" s="634">
        <v>7.0499999999999993E-2</v>
      </c>
      <c r="K27" s="627" t="s">
        <v>392</v>
      </c>
    </row>
    <row r="28" spans="1:15">
      <c r="A28" s="162">
        <f t="shared" si="0"/>
        <v>22</v>
      </c>
      <c r="B28" s="216" t="str">
        <f>'12 (1)'!B29</f>
        <v>Hormel Foods</v>
      </c>
      <c r="D28" s="632">
        <v>0.05</v>
      </c>
      <c r="F28" s="634">
        <v>6.8000000000000005E-2</v>
      </c>
      <c r="G28" s="4"/>
      <c r="H28" s="634">
        <v>5.4899999999999997E-2</v>
      </c>
      <c r="K28" s="627" t="s">
        <v>394</v>
      </c>
    </row>
    <row r="29" spans="1:15">
      <c r="A29" s="162">
        <f t="shared" si="0"/>
        <v>23</v>
      </c>
      <c r="B29" s="216" t="str">
        <f>'12 (1)'!B30</f>
        <v>Int'l Business Mach.</v>
      </c>
      <c r="C29" s="631"/>
      <c r="D29" s="632">
        <v>0.06</v>
      </c>
      <c r="E29" s="633"/>
      <c r="F29" s="634">
        <v>3.6999999999999998E-2</v>
      </c>
      <c r="G29" s="294"/>
      <c r="H29" s="634">
        <v>4.3499999999999997E-2</v>
      </c>
      <c r="K29" s="627" t="s">
        <v>840</v>
      </c>
    </row>
    <row r="30" spans="1:15">
      <c r="A30" s="162">
        <f t="shared" si="0"/>
        <v>24</v>
      </c>
      <c r="B30" s="216" t="str">
        <f>'12 (1)'!B31</f>
        <v>Johnson &amp; Johnson</v>
      </c>
      <c r="C30" s="631"/>
      <c r="D30" s="632">
        <v>4.4999999999999998E-2</v>
      </c>
      <c r="E30" s="633"/>
      <c r="F30" s="634">
        <v>5.2999999999999999E-2</v>
      </c>
      <c r="G30" s="294"/>
      <c r="H30" s="634">
        <v>6.2300000000000001E-2</v>
      </c>
      <c r="K30" s="627" t="s">
        <v>398</v>
      </c>
    </row>
    <row r="31" spans="1:15">
      <c r="A31" s="162">
        <f t="shared" si="0"/>
        <v>25</v>
      </c>
      <c r="B31" s="216" t="str">
        <f>'12 (1)'!B32</f>
        <v>Kimberly-Clark</v>
      </c>
      <c r="D31" s="632">
        <v>6.5000000000000002E-2</v>
      </c>
      <c r="F31" s="634">
        <v>3.9E-2</v>
      </c>
      <c r="G31" s="4"/>
      <c r="H31" s="634">
        <v>3.9699999999999999E-2</v>
      </c>
      <c r="K31" s="627" t="s">
        <v>400</v>
      </c>
    </row>
    <row r="32" spans="1:15" s="295" customFormat="1">
      <c r="A32" s="162">
        <f t="shared" si="0"/>
        <v>26</v>
      </c>
      <c r="B32" s="216" t="str">
        <f>'12 (1)'!B33</f>
        <v>Lilly (Eli)</v>
      </c>
      <c r="D32" s="632">
        <v>0.255</v>
      </c>
      <c r="F32" s="634">
        <v>0.41899999999999998</v>
      </c>
      <c r="H32" s="634">
        <v>0.31209999999999999</v>
      </c>
      <c r="J32" s="4"/>
      <c r="K32" s="627" t="s">
        <v>402</v>
      </c>
    </row>
    <row r="33" spans="1:11" s="295" customFormat="1">
      <c r="A33" s="162">
        <f t="shared" si="0"/>
        <v>27</v>
      </c>
      <c r="B33" s="216" t="str">
        <f>'12 (1)'!B34</f>
        <v>Lockheed Martin</v>
      </c>
      <c r="C33" s="631"/>
      <c r="D33" s="632">
        <v>9.5000000000000001E-2</v>
      </c>
      <c r="E33" s="633"/>
      <c r="F33" s="634">
        <v>9.2999999999999999E-2</v>
      </c>
      <c r="G33" s="294"/>
      <c r="H33" s="634">
        <v>0.1052</v>
      </c>
      <c r="I33" s="4"/>
      <c r="J33" s="4"/>
      <c r="K33" s="627" t="s">
        <v>405</v>
      </c>
    </row>
    <row r="34" spans="1:11" s="295" customFormat="1">
      <c r="A34" s="162">
        <f t="shared" si="0"/>
        <v>28</v>
      </c>
      <c r="B34" s="216" t="str">
        <f>'12 (1)'!B35</f>
        <v>Marsh &amp; McLennan</v>
      </c>
      <c r="D34" s="632">
        <v>0.105</v>
      </c>
      <c r="F34" s="634">
        <v>8.5000000000000006E-2</v>
      </c>
      <c r="H34" s="636">
        <v>8.5199999999999998E-2</v>
      </c>
      <c r="J34" s="4"/>
      <c r="K34" s="627" t="s">
        <v>407</v>
      </c>
    </row>
    <row r="35" spans="1:11" s="295" customFormat="1">
      <c r="A35" s="162">
        <f t="shared" si="0"/>
        <v>29</v>
      </c>
      <c r="B35" s="216" t="str">
        <f>'12 (1)'!B36</f>
        <v>McDonald's Corp.</v>
      </c>
      <c r="D35" s="632">
        <v>8.5000000000000006E-2</v>
      </c>
      <c r="F35" s="634">
        <v>7.4999999999999997E-2</v>
      </c>
      <c r="H35" s="634">
        <v>7.8200000000000006E-2</v>
      </c>
      <c r="J35" s="4"/>
      <c r="K35" s="627" t="s">
        <v>411</v>
      </c>
    </row>
    <row r="36" spans="1:11" s="295" customFormat="1">
      <c r="A36" s="162">
        <f t="shared" si="0"/>
        <v>30</v>
      </c>
      <c r="B36" s="216" t="str">
        <f>'12 (1)'!B37</f>
        <v>McKesson Corp.</v>
      </c>
      <c r="D36" s="632">
        <v>0.1</v>
      </c>
      <c r="F36" s="634">
        <v>0.123</v>
      </c>
      <c r="H36" s="634">
        <v>0.13450000000000001</v>
      </c>
      <c r="J36" s="4"/>
      <c r="K36" s="627" t="s">
        <v>413</v>
      </c>
    </row>
    <row r="37" spans="1:11" s="295" customFormat="1">
      <c r="A37" s="162">
        <f t="shared" si="0"/>
        <v>31</v>
      </c>
      <c r="B37" s="216" t="str">
        <f>'12 (1)'!B38</f>
        <v>Merck &amp; Co.</v>
      </c>
      <c r="D37" s="632">
        <v>0.13500000000000001</v>
      </c>
      <c r="F37" s="634">
        <v>0.13700000000000001</v>
      </c>
      <c r="H37" s="634">
        <v>0.1215</v>
      </c>
      <c r="J37" s="4"/>
      <c r="K37" s="627" t="s">
        <v>415</v>
      </c>
    </row>
    <row r="38" spans="1:11" s="295" customFormat="1">
      <c r="A38" s="162">
        <f t="shared" si="0"/>
        <v>32</v>
      </c>
      <c r="B38" s="216" t="str">
        <f>'12 (1)'!B39</f>
        <v>Microsoft Corp.</v>
      </c>
      <c r="D38" s="632">
        <v>0.12</v>
      </c>
      <c r="F38" s="634">
        <v>0.13700000000000001</v>
      </c>
      <c r="H38" s="634">
        <v>0.14760000000000001</v>
      </c>
      <c r="J38" s="4"/>
      <c r="K38" s="627" t="s">
        <v>418</v>
      </c>
    </row>
    <row r="39" spans="1:11" s="295" customFormat="1">
      <c r="A39" s="162">
        <f t="shared" si="0"/>
        <v>33</v>
      </c>
      <c r="B39" s="216" t="str">
        <f>'12 (1)'!B40</f>
        <v>Mondelez Int'l</v>
      </c>
      <c r="D39" s="632">
        <v>6.5000000000000002E-2</v>
      </c>
      <c r="F39" s="634">
        <v>2.3E-2</v>
      </c>
      <c r="H39" s="634">
        <v>4.2700000000000002E-2</v>
      </c>
      <c r="J39" s="4"/>
      <c r="K39" s="627" t="s">
        <v>420</v>
      </c>
    </row>
    <row r="40" spans="1:11" s="295" customFormat="1">
      <c r="A40" s="162">
        <f t="shared" si="0"/>
        <v>34</v>
      </c>
      <c r="B40" s="216" t="str">
        <f>'12 (1)'!B41</f>
        <v>NewMarket Corp.</v>
      </c>
      <c r="C40" s="631"/>
      <c r="D40" s="632">
        <v>5.5E-2</v>
      </c>
      <c r="F40" s="634" t="s">
        <v>36</v>
      </c>
      <c r="H40" s="634" t="s">
        <v>36</v>
      </c>
      <c r="I40" s="4"/>
      <c r="J40" s="4"/>
      <c r="K40" s="627" t="s">
        <v>423</v>
      </c>
    </row>
    <row r="41" spans="1:11" s="295" customFormat="1">
      <c r="A41" s="162">
        <f t="shared" si="0"/>
        <v>35</v>
      </c>
      <c r="B41" s="216" t="str">
        <f>'12 (1)'!B42</f>
        <v>Northrop Grumman</v>
      </c>
      <c r="C41" s="631"/>
      <c r="D41" s="632">
        <v>7.4999999999999997E-2</v>
      </c>
      <c r="F41" s="634">
        <v>4.2000000000000003E-2</v>
      </c>
      <c r="H41" s="634">
        <v>3.2800000000000003E-2</v>
      </c>
      <c r="I41" s="4"/>
      <c r="J41" s="4"/>
      <c r="K41" s="627" t="s">
        <v>425</v>
      </c>
    </row>
    <row r="42" spans="1:11" s="295" customFormat="1">
      <c r="A42" s="162">
        <f t="shared" si="0"/>
        <v>36</v>
      </c>
      <c r="B42" s="216" t="str">
        <f>'12 (1)'!B43</f>
        <v>PepsiCo, Inc.</v>
      </c>
      <c r="C42" s="631"/>
      <c r="D42" s="632">
        <v>0.06</v>
      </c>
      <c r="E42" s="633"/>
      <c r="F42" s="634">
        <v>3.5999999999999997E-2</v>
      </c>
      <c r="G42" s="294"/>
      <c r="H42" s="634">
        <v>4.4200000000000003E-2</v>
      </c>
      <c r="I42" s="4"/>
      <c r="J42" s="4"/>
      <c r="K42" s="627" t="s">
        <v>428</v>
      </c>
    </row>
    <row r="43" spans="1:11" s="295" customFormat="1">
      <c r="A43" s="162">
        <f t="shared" si="0"/>
        <v>37</v>
      </c>
      <c r="B43" s="216" t="str">
        <f>'12 (1)'!B44</f>
        <v>Procter &amp; Gamble</v>
      </c>
      <c r="C43" s="631"/>
      <c r="D43" s="632">
        <v>4.4999999999999998E-2</v>
      </c>
      <c r="E43" s="633"/>
      <c r="F43" s="634">
        <v>4.2999999999999997E-2</v>
      </c>
      <c r="G43" s="294"/>
      <c r="H43" s="634">
        <v>4.9599999999999998E-2</v>
      </c>
      <c r="I43" s="4"/>
      <c r="J43" s="4"/>
      <c r="K43" s="627" t="s">
        <v>430</v>
      </c>
    </row>
    <row r="44" spans="1:11" s="295" customFormat="1">
      <c r="A44" s="162">
        <f t="shared" si="0"/>
        <v>38</v>
      </c>
      <c r="B44" s="216" t="str">
        <f>'12 (1)'!B45</f>
        <v>Progressive Corp.</v>
      </c>
      <c r="C44" s="631"/>
      <c r="D44" s="632">
        <v>0.23499999999999999</v>
      </c>
      <c r="E44" s="633"/>
      <c r="F44" s="634" t="s">
        <v>36</v>
      </c>
      <c r="G44" s="294"/>
      <c r="H44" s="634">
        <v>0.1022</v>
      </c>
      <c r="I44" s="4"/>
      <c r="J44" s="4"/>
      <c r="K44" s="627" t="s">
        <v>433</v>
      </c>
    </row>
    <row r="45" spans="1:11" s="295" customFormat="1">
      <c r="A45" s="162">
        <f t="shared" si="0"/>
        <v>39</v>
      </c>
      <c r="B45" s="216" t="str">
        <f>'12 (1)'!B46</f>
        <v>Republic Services</v>
      </c>
      <c r="C45" s="631"/>
      <c r="D45" s="632">
        <v>0.12</v>
      </c>
      <c r="E45" s="633"/>
      <c r="F45" s="634">
        <v>9.1999999999999998E-2</v>
      </c>
      <c r="G45" s="294"/>
      <c r="H45" s="634">
        <v>9.4600000000000004E-2</v>
      </c>
      <c r="I45" s="4"/>
      <c r="J45" s="4"/>
      <c r="K45" s="627" t="s">
        <v>436</v>
      </c>
    </row>
    <row r="46" spans="1:11" s="295" customFormat="1">
      <c r="A46" s="162">
        <f t="shared" si="0"/>
        <v>40</v>
      </c>
      <c r="B46" s="216" t="str">
        <f>'12 (1)'!B47</f>
        <v>Roper Tech.</v>
      </c>
      <c r="C46" s="631"/>
      <c r="D46" s="632">
        <v>7.4999999999999997E-2</v>
      </c>
      <c r="E46" s="633"/>
      <c r="F46" s="634">
        <v>7.9000000000000001E-2</v>
      </c>
      <c r="G46" s="294"/>
      <c r="H46" s="634">
        <v>0.105</v>
      </c>
      <c r="I46" s="4"/>
      <c r="J46" s="4"/>
      <c r="K46" s="627" t="s">
        <v>438</v>
      </c>
    </row>
    <row r="47" spans="1:11" s="295" customFormat="1">
      <c r="A47" s="162">
        <f t="shared" si="0"/>
        <v>41</v>
      </c>
      <c r="B47" s="216" t="str">
        <f>'12 (1)'!B48</f>
        <v>Thermo Fisher Sci.</v>
      </c>
      <c r="C47" s="631"/>
      <c r="D47" s="632">
        <v>0.08</v>
      </c>
      <c r="E47" s="633"/>
      <c r="F47" s="634">
        <v>7.1999999999999995E-2</v>
      </c>
      <c r="G47" s="294"/>
      <c r="H47" s="634">
        <v>8.48E-2</v>
      </c>
      <c r="I47" s="4"/>
      <c r="J47" s="4"/>
      <c r="K47" s="627" t="s">
        <v>442</v>
      </c>
    </row>
    <row r="48" spans="1:11" s="295" customFormat="1">
      <c r="A48" s="162">
        <f t="shared" si="0"/>
        <v>42</v>
      </c>
      <c r="B48" s="216" t="str">
        <f>'12 (1)'!B49</f>
        <v>T-Mobile US</v>
      </c>
      <c r="C48" s="631"/>
      <c r="D48" s="632">
        <v>0.18</v>
      </c>
      <c r="E48" s="633"/>
      <c r="F48" s="634">
        <v>0.17699999999999999</v>
      </c>
      <c r="G48" s="294"/>
      <c r="H48" s="634">
        <v>0.1721</v>
      </c>
      <c r="I48" s="4"/>
      <c r="J48" s="4"/>
      <c r="K48" s="627" t="s">
        <v>1135</v>
      </c>
    </row>
    <row r="49" spans="1:11" s="295" customFormat="1">
      <c r="A49" s="162">
        <f t="shared" si="0"/>
        <v>43</v>
      </c>
      <c r="B49" s="216" t="str">
        <f>'12 (1)'!B50</f>
        <v>Verizon Communic.</v>
      </c>
      <c r="C49" s="631"/>
      <c r="D49" s="632">
        <v>5.0000000000000001E-3</v>
      </c>
      <c r="E49" s="633"/>
      <c r="F49" s="634">
        <v>2.5999999999999999E-2</v>
      </c>
      <c r="G49" s="294"/>
      <c r="H49" s="634">
        <v>2.87E-2</v>
      </c>
      <c r="I49" s="4"/>
      <c r="J49" s="4"/>
      <c r="K49" s="627" t="s">
        <v>1179</v>
      </c>
    </row>
    <row r="50" spans="1:11" s="295" customFormat="1">
      <c r="A50" s="162">
        <f t="shared" si="0"/>
        <v>44</v>
      </c>
      <c r="B50" s="216" t="str">
        <f>'12 (1)'!B51</f>
        <v>Walmart Inc.</v>
      </c>
      <c r="C50" s="631"/>
      <c r="D50" s="632">
        <v>0.1</v>
      </c>
      <c r="E50" s="633"/>
      <c r="F50" s="634">
        <v>8.1000000000000003E-2</v>
      </c>
      <c r="G50" s="294"/>
      <c r="H50" s="634">
        <v>7.9000000000000001E-2</v>
      </c>
      <c r="I50" s="4"/>
      <c r="J50" s="4"/>
      <c r="K50" s="627" t="s">
        <v>446</v>
      </c>
    </row>
    <row r="51" spans="1:11" s="295" customFormat="1">
      <c r="A51" s="162">
        <f t="shared" si="0"/>
        <v>45</v>
      </c>
      <c r="B51" s="216" t="str">
        <f>'12 (1)'!B52</f>
        <v>Waste Management</v>
      </c>
      <c r="C51" s="631"/>
      <c r="D51" s="632">
        <v>7.4999999999999997E-2</v>
      </c>
      <c r="E51" s="633"/>
      <c r="F51" s="634">
        <v>0.105</v>
      </c>
      <c r="G51" s="294"/>
      <c r="H51" s="634">
        <v>9.98E-2</v>
      </c>
      <c r="I51" s="4"/>
      <c r="J51" s="4"/>
      <c r="K51" s="627" t="s">
        <v>448</v>
      </c>
    </row>
    <row r="52" spans="1:11" s="295" customFormat="1">
      <c r="A52" s="162"/>
      <c r="I52" s="4"/>
      <c r="J52" s="4"/>
      <c r="K52" s="180"/>
    </row>
    <row r="53" spans="1:11" s="8" customFormat="1">
      <c r="A53" s="296" t="s">
        <v>21</v>
      </c>
      <c r="B53" s="164" t="s">
        <v>1473</v>
      </c>
      <c r="C53" s="637"/>
      <c r="D53" s="638"/>
      <c r="E53" s="637"/>
      <c r="F53" s="637"/>
      <c r="G53" s="637"/>
      <c r="H53" s="637"/>
      <c r="I53" s="4"/>
      <c r="J53" s="4"/>
      <c r="K53" s="264"/>
    </row>
    <row r="54" spans="1:11" s="8" customFormat="1">
      <c r="A54" s="296" t="s">
        <v>22</v>
      </c>
      <c r="B54" s="164" t="s">
        <v>1549</v>
      </c>
      <c r="C54" s="639"/>
      <c r="D54" s="639"/>
      <c r="E54" s="639"/>
      <c r="F54" s="639"/>
      <c r="G54" s="639"/>
      <c r="H54" s="639"/>
      <c r="I54" s="4"/>
      <c r="J54" s="4"/>
      <c r="K54" s="264"/>
    </row>
    <row r="55" spans="1:11" s="8" customFormat="1">
      <c r="A55" s="296" t="s">
        <v>23</v>
      </c>
      <c r="B55" s="164" t="s">
        <v>1467</v>
      </c>
      <c r="C55" s="163"/>
      <c r="D55" s="640"/>
      <c r="E55" s="163"/>
      <c r="F55" s="163"/>
      <c r="G55" s="163"/>
      <c r="H55" s="163"/>
      <c r="I55" s="4"/>
      <c r="J55" s="4"/>
      <c r="K55" s="264"/>
    </row>
  </sheetData>
  <sortState xmlns:xlrd2="http://schemas.microsoft.com/office/spreadsheetml/2017/richdata2" ref="B7:K51">
    <sortCondition ref="B7:B51"/>
  </sortState>
  <phoneticPr fontId="29" type="noConversion"/>
  <printOptions horizontalCentered="1"/>
  <pageMargins left="0.5" right="0.5" top="0.5" bottom="0.25" header="0.5" footer="0.5"/>
  <pageSetup scale="87"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BAE05-380B-4BCB-93B9-026561C6C794}">
  <sheetPr codeName="Sheet26">
    <pageSetUpPr fitToPage="1"/>
  </sheetPr>
  <dimension ref="A1:N62"/>
  <sheetViews>
    <sheetView view="pageBreakPreview" zoomScaleNormal="100" zoomScaleSheetLayoutView="100" workbookViewId="0"/>
  </sheetViews>
  <sheetFormatPr defaultColWidth="9.26953125" defaultRowHeight="15.5"/>
  <cols>
    <col min="1" max="1" width="3.7265625" style="162" customWidth="1"/>
    <col min="2" max="2" width="24.54296875" style="4" customWidth="1"/>
    <col min="3" max="3" width="10.7265625" style="4" customWidth="1"/>
    <col min="4" max="4" width="7.26953125" style="269" bestFit="1" customWidth="1"/>
    <col min="5" max="5" width="7" style="4" customWidth="1"/>
    <col min="6" max="6" width="7.54296875" style="4" customWidth="1"/>
    <col min="7" max="7" width="7" style="4" customWidth="1"/>
    <col min="8" max="8" width="7.26953125" style="4" customWidth="1"/>
    <col min="9" max="9" width="3.7265625" style="4" customWidth="1"/>
    <col min="10" max="11" width="9.26953125" style="4"/>
    <col min="12" max="14" width="9.26953125" style="187"/>
    <col min="15" max="16384" width="9.26953125" style="4"/>
  </cols>
  <sheetData>
    <row r="1" spans="1:14">
      <c r="A1" s="268" t="str">
        <f>'Exhibit List'!C21</f>
        <v>DCF MODEL - NON-UTILITY GROUP</v>
      </c>
      <c r="B1" s="216"/>
      <c r="C1" s="216"/>
      <c r="E1" s="216"/>
      <c r="F1" s="216"/>
      <c r="G1" s="216"/>
      <c r="H1" s="216"/>
      <c r="I1" s="215" t="str">
        <f>'Exhibit List'!B21</f>
        <v>Exhibit AMM-12</v>
      </c>
    </row>
    <row r="2" spans="1:14">
      <c r="A2" s="268"/>
      <c r="B2" s="270"/>
      <c r="C2" s="216"/>
      <c r="E2" s="216"/>
      <c r="F2" s="216"/>
      <c r="G2" s="216"/>
      <c r="H2" s="216"/>
      <c r="I2" s="215" t="s">
        <v>251</v>
      </c>
      <c r="K2" s="15"/>
    </row>
    <row r="3" spans="1:14">
      <c r="A3" s="271" t="str">
        <f>'Exhibit List'!D21</f>
        <v>DCF COST OF EQUITY ESTIMATES</v>
      </c>
      <c r="B3" s="216"/>
      <c r="C3" s="216"/>
      <c r="E3" s="216"/>
      <c r="F3" s="216"/>
      <c r="G3" s="216"/>
      <c r="H3" s="216"/>
      <c r="I3" s="216"/>
    </row>
    <row r="4" spans="1:14">
      <c r="A4" s="17"/>
      <c r="B4" s="272"/>
      <c r="C4" s="272"/>
      <c r="D4" s="273"/>
      <c r="E4" s="272"/>
      <c r="F4" s="272"/>
    </row>
    <row r="5" spans="1:14" s="180" customFormat="1">
      <c r="A5" s="162"/>
      <c r="D5" s="180" t="s">
        <v>21</v>
      </c>
      <c r="F5" s="180" t="s">
        <v>21</v>
      </c>
      <c r="G5" s="274"/>
      <c r="H5" s="180" t="s">
        <v>21</v>
      </c>
      <c r="L5" s="187"/>
      <c r="M5" s="187"/>
      <c r="N5" s="187"/>
    </row>
    <row r="6" spans="1:14">
      <c r="B6" s="275" t="s">
        <v>346</v>
      </c>
      <c r="C6" s="275"/>
      <c r="D6" s="191" t="s">
        <v>249</v>
      </c>
      <c r="E6" s="190"/>
      <c r="F6" s="276" t="s">
        <v>96</v>
      </c>
      <c r="G6" s="277"/>
      <c r="H6" s="276" t="s">
        <v>97</v>
      </c>
    </row>
    <row r="7" spans="1:14">
      <c r="A7" s="162">
        <f>A6+1</f>
        <v>1</v>
      </c>
      <c r="B7" s="216" t="str">
        <f>'12 (1)'!B8</f>
        <v>Abbott Labs.</v>
      </c>
      <c r="C7" s="278"/>
      <c r="D7" s="279">
        <f>IF('12 (2)'!D7="n/a","n/a",'12 (1)'!$I8+'12 (2)'!D7)</f>
        <v>7.8124057638599115E-2</v>
      </c>
      <c r="E7" s="280"/>
      <c r="F7" s="279">
        <f>IF('12 (2)'!F7="n/a","n/a",'12 (1)'!$I8+'12 (2)'!F7)</f>
        <v>0.11912405763859912</v>
      </c>
      <c r="G7" s="192"/>
      <c r="H7" s="279">
        <f>IF('12 (2)'!H7="n/a","n/a",'12 (1)'!$I8+'12 (2)'!H7)</f>
        <v>0.12092405763859912</v>
      </c>
      <c r="L7" s="281">
        <f t="shared" ref="L7:L51" si="0">IF(D7="n/a","n/a",IF(D7&lt;$C$61,"LOW",IF(D7&gt;$C$62,"HIGH",D7)))</f>
        <v>7.8124057638599115E-2</v>
      </c>
      <c r="M7" s="281">
        <f t="shared" ref="M7:M51" si="1">IF(F7="n/a","n/a",IF(F7&lt;$C$61,"LOW",IF(F7&gt;$C$62,"HIGH",F7)))</f>
        <v>0.11912405763859912</v>
      </c>
      <c r="N7" s="281">
        <f t="shared" ref="N7:N51" si="2">IF(H7="n/a","n/a",IF(H7&lt;$C$61,"LOW",IF(H7&gt;$C$62,"HIGH",H7)))</f>
        <v>0.12092405763859912</v>
      </c>
    </row>
    <row r="8" spans="1:14">
      <c r="A8" s="162">
        <f t="shared" ref="A8:A51" si="3">A7+1</f>
        <v>2</v>
      </c>
      <c r="B8" s="216" t="str">
        <f>'12 (1)'!B9</f>
        <v>AbbVie Inc.</v>
      </c>
      <c r="C8" s="278"/>
      <c r="D8" s="279">
        <f>IF('12 (2)'!D8="n/a","n/a",'12 (1)'!$I9+'12 (2)'!D8)</f>
        <v>8.5778760724083566E-2</v>
      </c>
      <c r="E8" s="280"/>
      <c r="F8" s="279">
        <f>IF('12 (2)'!F8="n/a","n/a",'12 (1)'!$I9+'12 (2)'!F8)</f>
        <v>0.20077876072408357</v>
      </c>
      <c r="G8" s="192"/>
      <c r="H8" s="279">
        <f>IF('12 (2)'!H8="n/a","n/a",'12 (1)'!$I9+'12 (2)'!H8)</f>
        <v>0.15837876072408358</v>
      </c>
      <c r="L8" s="281">
        <f t="shared" si="0"/>
        <v>8.5778760724083566E-2</v>
      </c>
      <c r="M8" s="281" t="str">
        <f t="shared" si="1"/>
        <v>HIGH</v>
      </c>
      <c r="N8" s="281">
        <f t="shared" si="2"/>
        <v>0.15837876072408358</v>
      </c>
    </row>
    <row r="9" spans="1:14">
      <c r="A9" s="162">
        <f t="shared" si="3"/>
        <v>3</v>
      </c>
      <c r="B9" s="216" t="str">
        <f>'12 (1)'!B10</f>
        <v>Amdocs Ltd.</v>
      </c>
      <c r="C9" s="278"/>
      <c r="D9" s="279">
        <f>IF('12 (2)'!D9="n/a","n/a",'12 (1)'!$I10+'12 (2)'!D9)</f>
        <v>8.7047509320431454E-2</v>
      </c>
      <c r="E9" s="280"/>
      <c r="F9" s="279">
        <f>IF('12 (2)'!F9="n/a","n/a",'12 (1)'!$I10+'12 (2)'!F9)</f>
        <v>0.10704750932043147</v>
      </c>
      <c r="G9" s="192"/>
      <c r="H9" s="279">
        <f>IF('12 (2)'!H9="n/a","n/a",'12 (1)'!$I10+'12 (2)'!H9)</f>
        <v>0.12014750932043147</v>
      </c>
      <c r="L9" s="281">
        <f t="shared" si="0"/>
        <v>8.7047509320431454E-2</v>
      </c>
      <c r="M9" s="281">
        <f t="shared" si="1"/>
        <v>0.10704750932043147</v>
      </c>
      <c r="N9" s="281">
        <f t="shared" si="2"/>
        <v>0.12014750932043147</v>
      </c>
    </row>
    <row r="10" spans="1:14">
      <c r="A10" s="162">
        <f t="shared" si="3"/>
        <v>4</v>
      </c>
      <c r="B10" s="216" t="str">
        <f>'12 (1)'!B11</f>
        <v>Amgen</v>
      </c>
      <c r="C10" s="278"/>
      <c r="D10" s="279">
        <f>IF('12 (2)'!D10="n/a","n/a",'12 (1)'!$I11+'12 (2)'!D10)</f>
        <v>8.9050670640834578E-2</v>
      </c>
      <c r="E10" s="280"/>
      <c r="F10" s="279">
        <f>IF('12 (2)'!F10="n/a","n/a",'12 (1)'!$I11+'12 (2)'!F10)</f>
        <v>8.5050670640834575E-2</v>
      </c>
      <c r="G10" s="192"/>
      <c r="H10" s="279">
        <f>IF('12 (2)'!H10="n/a","n/a",'12 (1)'!$I11+'12 (2)'!H10)</f>
        <v>8.7150670640834565E-2</v>
      </c>
      <c r="L10" s="281">
        <f t="shared" si="0"/>
        <v>8.9050670640834578E-2</v>
      </c>
      <c r="M10" s="281">
        <f t="shared" si="1"/>
        <v>8.5050670640834575E-2</v>
      </c>
      <c r="N10" s="281">
        <f t="shared" si="2"/>
        <v>8.7150670640834565E-2</v>
      </c>
    </row>
    <row r="11" spans="1:14">
      <c r="A11" s="162">
        <f t="shared" si="3"/>
        <v>5</v>
      </c>
      <c r="B11" s="216" t="str">
        <f>'12 (1)'!B12</f>
        <v>AptarGroup</v>
      </c>
      <c r="C11" s="278"/>
      <c r="D11" s="279">
        <f>IF('12 (2)'!D11="n/a","n/a",'12 (1)'!$I12+'12 (2)'!D11)</f>
        <v>0.11745780060336158</v>
      </c>
      <c r="E11" s="280"/>
      <c r="F11" s="279">
        <f>IF('12 (2)'!F11="n/a","n/a",'12 (1)'!$I12+'12 (2)'!F11)</f>
        <v>9.5457800603361592E-2</v>
      </c>
      <c r="G11" s="192"/>
      <c r="H11" s="279">
        <f>IF('12 (2)'!H11="n/a","n/a",'12 (1)'!$I12+'12 (2)'!H11)</f>
        <v>7.4757800603361596E-2</v>
      </c>
      <c r="L11" s="281">
        <f t="shared" si="0"/>
        <v>0.11745780060336158</v>
      </c>
      <c r="M11" s="281">
        <f t="shared" si="1"/>
        <v>9.5457800603361592E-2</v>
      </c>
      <c r="N11" s="281" t="str">
        <f t="shared" si="2"/>
        <v>LOW</v>
      </c>
    </row>
    <row r="12" spans="1:14">
      <c r="A12" s="162">
        <f t="shared" si="3"/>
        <v>6</v>
      </c>
      <c r="B12" s="216" t="str">
        <f>'12 (1)'!B13</f>
        <v>Automatic Data Proc.</v>
      </c>
      <c r="C12" s="278"/>
      <c r="D12" s="279">
        <f>IF('12 (2)'!D12="n/a","n/a",'12 (1)'!$I13+'12 (2)'!D12)</f>
        <v>9.0547739581862408E-2</v>
      </c>
      <c r="E12" s="280"/>
      <c r="F12" s="279">
        <f>IF('12 (2)'!F12="n/a","n/a",'12 (1)'!$I13+'12 (2)'!F12)</f>
        <v>0.1135477395818624</v>
      </c>
      <c r="G12" s="192"/>
      <c r="H12" s="279">
        <f>IF('12 (2)'!H12="n/a","n/a",'12 (1)'!$I13+'12 (2)'!H12)</f>
        <v>0.11714773958186239</v>
      </c>
      <c r="L12" s="281">
        <f t="shared" si="0"/>
        <v>9.0547739581862408E-2</v>
      </c>
      <c r="M12" s="281">
        <f t="shared" si="1"/>
        <v>0.1135477395818624</v>
      </c>
      <c r="N12" s="281">
        <f t="shared" si="2"/>
        <v>0.11714773958186239</v>
      </c>
    </row>
    <row r="13" spans="1:14">
      <c r="A13" s="162">
        <f t="shared" si="3"/>
        <v>7</v>
      </c>
      <c r="B13" s="216" t="str">
        <f>'12 (1)'!B14</f>
        <v>Bristol-Myers Squibb</v>
      </c>
      <c r="C13" s="278"/>
      <c r="D13" s="279">
        <f>IF('12 (2)'!D13="n/a","n/a",'12 (1)'!$I14+'12 (2)'!D13)</f>
        <v>7.5533522607638445E-2</v>
      </c>
      <c r="E13" s="280"/>
      <c r="F13" s="279">
        <f>IF('12 (2)'!F13="n/a","n/a",'12 (1)'!$I14+'12 (2)'!F13)</f>
        <v>0.51553352260763852</v>
      </c>
      <c r="G13" s="192"/>
      <c r="H13" s="279">
        <f>IF('12 (2)'!H13="n/a","n/a",'12 (1)'!$I14+'12 (2)'!H13)</f>
        <v>0.10053352260763845</v>
      </c>
      <c r="L13" s="281">
        <f t="shared" si="0"/>
        <v>7.5533522607638445E-2</v>
      </c>
      <c r="M13" s="281" t="str">
        <f t="shared" si="1"/>
        <v>HIGH</v>
      </c>
      <c r="N13" s="281">
        <f t="shared" si="2"/>
        <v>0.10053352260763845</v>
      </c>
    </row>
    <row r="14" spans="1:14">
      <c r="A14" s="162">
        <f t="shared" si="3"/>
        <v>8</v>
      </c>
      <c r="B14" s="216" t="str">
        <f>'12 (1)'!B15</f>
        <v>Brown-Forman 'B'</v>
      </c>
      <c r="C14" s="278"/>
      <c r="D14" s="279">
        <f>IF('12 (2)'!D14="n/a","n/a",'12 (1)'!$I15+'12 (2)'!D14)</f>
        <v>0.1241247997670016</v>
      </c>
      <c r="E14" s="280"/>
      <c r="F14" s="279">
        <f>IF('12 (2)'!F14="n/a","n/a",'12 (1)'!$I15+'12 (2)'!F14)</f>
        <v>6.1247997670015944E-3</v>
      </c>
      <c r="G14" s="192"/>
      <c r="H14" s="279">
        <f>IF('12 (2)'!H14="n/a","n/a",'12 (1)'!$I15+'12 (2)'!H14)</f>
        <v>6.1124799767001595E-2</v>
      </c>
      <c r="L14" s="281">
        <f t="shared" si="0"/>
        <v>0.1241247997670016</v>
      </c>
      <c r="M14" s="281" t="str">
        <f t="shared" si="1"/>
        <v>LOW</v>
      </c>
      <c r="N14" s="281" t="str">
        <f t="shared" si="2"/>
        <v>LOW</v>
      </c>
    </row>
    <row r="15" spans="1:14">
      <c r="A15" s="162">
        <f t="shared" si="3"/>
        <v>9</v>
      </c>
      <c r="B15" s="216" t="str">
        <f>'12 (1)'!B16</f>
        <v>Church &amp; Dwight</v>
      </c>
      <c r="C15" s="278"/>
      <c r="D15" s="279">
        <f>IF('12 (2)'!D15="n/a","n/a",'12 (1)'!$I16+'12 (2)'!D15)</f>
        <v>7.1985130312899923E-2</v>
      </c>
      <c r="E15" s="280"/>
      <c r="F15" s="279">
        <f>IF('12 (2)'!F15="n/a","n/a",'12 (1)'!$I16+'12 (2)'!F15)</f>
        <v>7.1985130312899923E-2</v>
      </c>
      <c r="G15" s="192"/>
      <c r="H15" s="279">
        <f>IF('12 (2)'!H15="n/a","n/a",'12 (1)'!$I16+'12 (2)'!H15)</f>
        <v>8.3485130312899919E-2</v>
      </c>
      <c r="L15" s="281" t="str">
        <f t="shared" si="0"/>
        <v>LOW</v>
      </c>
      <c r="M15" s="281" t="str">
        <f t="shared" si="1"/>
        <v>LOW</v>
      </c>
      <c r="N15" s="281">
        <f t="shared" si="2"/>
        <v>8.3485130312899919E-2</v>
      </c>
    </row>
    <row r="16" spans="1:14">
      <c r="A16" s="162">
        <f t="shared" si="3"/>
        <v>10</v>
      </c>
      <c r="B16" s="216" t="str">
        <f>'12 (1)'!B17</f>
        <v>Cisco Systems</v>
      </c>
      <c r="C16" s="278"/>
      <c r="D16" s="279">
        <f>IF('12 (2)'!D16="n/a","n/a",'12 (1)'!$I17+'12 (2)'!D16)</f>
        <v>8.3157567918686434E-2</v>
      </c>
      <c r="E16" s="280"/>
      <c r="F16" s="279">
        <f>IF('12 (2)'!F16="n/a","n/a",'12 (1)'!$I17+'12 (2)'!F16)</f>
        <v>7.815756791868643E-2</v>
      </c>
      <c r="G16" s="192"/>
      <c r="H16" s="279">
        <f>IF('12 (2)'!H16="n/a","n/a",'12 (1)'!$I17+'12 (2)'!H16)</f>
        <v>8.2257567918686436E-2</v>
      </c>
      <c r="L16" s="281">
        <f t="shared" si="0"/>
        <v>8.3157567918686434E-2</v>
      </c>
      <c r="M16" s="281">
        <f t="shared" si="1"/>
        <v>7.815756791868643E-2</v>
      </c>
      <c r="N16" s="281">
        <f t="shared" si="2"/>
        <v>8.2257567918686436E-2</v>
      </c>
    </row>
    <row r="17" spans="1:14">
      <c r="A17" s="162">
        <f t="shared" si="3"/>
        <v>11</v>
      </c>
      <c r="B17" s="216" t="str">
        <f>'12 (1)'!B18</f>
        <v>CME Group</v>
      </c>
      <c r="C17" s="278"/>
      <c r="D17" s="279">
        <f>IF('12 (2)'!D17="n/a","n/a",'12 (1)'!$I18+'12 (2)'!D17)</f>
        <v>7.3578566279654492E-2</v>
      </c>
      <c r="E17" s="280"/>
      <c r="F17" s="279">
        <f>IF('12 (2)'!F17="n/a","n/a",'12 (1)'!$I18+'12 (2)'!F17)</f>
        <v>8.657856627965449E-2</v>
      </c>
      <c r="G17" s="192"/>
      <c r="H17" s="279">
        <f>IF('12 (2)'!H17="n/a","n/a",'12 (1)'!$I18+'12 (2)'!H17)</f>
        <v>8.3878566279654482E-2</v>
      </c>
      <c r="L17" s="281" t="str">
        <f t="shared" si="0"/>
        <v>LOW</v>
      </c>
      <c r="M17" s="281">
        <f t="shared" si="1"/>
        <v>8.657856627965449E-2</v>
      </c>
      <c r="N17" s="281">
        <f t="shared" si="2"/>
        <v>8.3878566279654482E-2</v>
      </c>
    </row>
    <row r="18" spans="1:14">
      <c r="A18" s="162">
        <f t="shared" si="3"/>
        <v>12</v>
      </c>
      <c r="B18" s="216" t="str">
        <f>'12 (1)'!B19</f>
        <v>Coca-Cola</v>
      </c>
      <c r="C18" s="278"/>
      <c r="D18" s="279">
        <f>IF('12 (2)'!D18="n/a","n/a",'12 (1)'!$I19+'12 (2)'!D18)</f>
        <v>9.8562761066903148E-2</v>
      </c>
      <c r="E18" s="280"/>
      <c r="F18" s="279">
        <f>IF('12 (2)'!F18="n/a","n/a",'12 (1)'!$I19+'12 (2)'!F18)</f>
        <v>8.956276106690314E-2</v>
      </c>
      <c r="G18" s="192"/>
      <c r="H18" s="279">
        <f>IF('12 (2)'!H18="n/a","n/a",'12 (1)'!$I19+'12 (2)'!H18)</f>
        <v>9.1862761066903137E-2</v>
      </c>
      <c r="L18" s="281">
        <f t="shared" si="0"/>
        <v>9.8562761066903148E-2</v>
      </c>
      <c r="M18" s="281">
        <f t="shared" si="1"/>
        <v>8.956276106690314E-2</v>
      </c>
      <c r="N18" s="281">
        <f t="shared" si="2"/>
        <v>9.1862761066903137E-2</v>
      </c>
    </row>
    <row r="19" spans="1:14">
      <c r="A19" s="162">
        <f t="shared" si="3"/>
        <v>13</v>
      </c>
      <c r="B19" s="216" t="str">
        <f>'12 (1)'!B20</f>
        <v>Colgate-Palmolive</v>
      </c>
      <c r="C19" s="278"/>
      <c r="D19" s="279">
        <f>IF('12 (2)'!D19="n/a","n/a",'12 (1)'!$I20+'12 (2)'!D19)</f>
        <v>0.12268958896936906</v>
      </c>
      <c r="E19" s="280"/>
      <c r="F19" s="279">
        <f>IF('12 (2)'!F19="n/a","n/a",'12 (1)'!$I20+'12 (2)'!F19)</f>
        <v>7.1689588969369056E-2</v>
      </c>
      <c r="G19" s="192"/>
      <c r="H19" s="279">
        <f>IF('12 (2)'!H19="n/a","n/a",'12 (1)'!$I20+'12 (2)'!H19)</f>
        <v>7.4289588969369047E-2</v>
      </c>
      <c r="L19" s="281">
        <f t="shared" si="0"/>
        <v>0.12268958896936906</v>
      </c>
      <c r="M19" s="281" t="str">
        <f t="shared" si="1"/>
        <v>LOW</v>
      </c>
      <c r="N19" s="281" t="str">
        <f t="shared" si="2"/>
        <v>LOW</v>
      </c>
    </row>
    <row r="20" spans="1:14">
      <c r="A20" s="162">
        <f t="shared" si="3"/>
        <v>14</v>
      </c>
      <c r="B20" s="216" t="str">
        <f>'12 (1)'!B21</f>
        <v>Costco Wholesale</v>
      </c>
      <c r="C20" s="278"/>
      <c r="D20" s="279">
        <f>IF('12 (2)'!D20="n/a","n/a",'12 (1)'!$I21+'12 (2)'!D20)</f>
        <v>0.10527177700112939</v>
      </c>
      <c r="E20" s="280"/>
      <c r="F20" s="279">
        <f>IF('12 (2)'!F20="n/a","n/a",'12 (1)'!$I21+'12 (2)'!F20)</f>
        <v>0.11127177700112938</v>
      </c>
      <c r="G20" s="192"/>
      <c r="H20" s="279">
        <f>IF('12 (2)'!H20="n/a","n/a",'12 (1)'!$I21+'12 (2)'!H20)</f>
        <v>9.8871777001129382E-2</v>
      </c>
      <c r="L20" s="281">
        <f t="shared" si="0"/>
        <v>0.10527177700112939</v>
      </c>
      <c r="M20" s="281">
        <f t="shared" si="1"/>
        <v>0.11127177700112938</v>
      </c>
      <c r="N20" s="281">
        <f t="shared" si="2"/>
        <v>9.8871777001129382E-2</v>
      </c>
    </row>
    <row r="21" spans="1:14">
      <c r="A21" s="162">
        <f t="shared" si="3"/>
        <v>15</v>
      </c>
      <c r="B21" s="216" t="str">
        <f>'12 (1)'!B22</f>
        <v>Electronic Arts</v>
      </c>
      <c r="C21" s="278"/>
      <c r="D21" s="279">
        <f>IF('12 (2)'!D21="n/a","n/a",'12 (1)'!$I22+'12 (2)'!D21)</f>
        <v>0.13018779593759172</v>
      </c>
      <c r="E21" s="280"/>
      <c r="F21" s="279">
        <f>IF('12 (2)'!F21="n/a","n/a",'12 (1)'!$I22+'12 (2)'!F21)</f>
        <v>0.10818779593759172</v>
      </c>
      <c r="G21" s="192"/>
      <c r="H21" s="279">
        <f>IF('12 (2)'!H21="n/a","n/a",'12 (1)'!$I22+'12 (2)'!H21)</f>
        <v>0.12538779593759172</v>
      </c>
      <c r="L21" s="281">
        <f t="shared" si="0"/>
        <v>0.13018779593759172</v>
      </c>
      <c r="M21" s="281">
        <f t="shared" si="1"/>
        <v>0.10818779593759172</v>
      </c>
      <c r="N21" s="281">
        <f t="shared" si="2"/>
        <v>0.12538779593759172</v>
      </c>
    </row>
    <row r="22" spans="1:14">
      <c r="A22" s="162">
        <f t="shared" si="3"/>
        <v>16</v>
      </c>
      <c r="B22" s="216" t="str">
        <f>'12 (1)'!B23</f>
        <v>Gallagher (Arthur J.)</v>
      </c>
      <c r="C22" s="278"/>
      <c r="D22" s="279">
        <f>IF('12 (2)'!D22="n/a","n/a",'12 (1)'!$I23+'12 (2)'!D22)</f>
        <v>0.15287901071949508</v>
      </c>
      <c r="E22" s="280"/>
      <c r="F22" s="279">
        <f>IF('12 (2)'!F22="n/a","n/a",'12 (1)'!$I23+'12 (2)'!F22)</f>
        <v>0.15387901071949509</v>
      </c>
      <c r="G22" s="192"/>
      <c r="H22" s="279" t="str">
        <f>IF('12 (2)'!H22="n/a","n/a",'12 (1)'!$I23+'12 (2)'!H22)</f>
        <v>n/a</v>
      </c>
      <c r="L22" s="281">
        <f t="shared" si="0"/>
        <v>0.15287901071949508</v>
      </c>
      <c r="M22" s="281">
        <f t="shared" si="1"/>
        <v>0.15387901071949509</v>
      </c>
      <c r="N22" s="281" t="str">
        <f t="shared" si="2"/>
        <v>n/a</v>
      </c>
    </row>
    <row r="23" spans="1:14">
      <c r="A23" s="162">
        <f t="shared" si="3"/>
        <v>17</v>
      </c>
      <c r="B23" s="216" t="str">
        <f>'12 (1)'!B24</f>
        <v>Gen'l Dynamics</v>
      </c>
      <c r="C23" s="278"/>
      <c r="D23" s="279">
        <f>IF('12 (2)'!D23="n/a","n/a",'12 (1)'!$I24+'12 (2)'!D23)</f>
        <v>0.11704518037244108</v>
      </c>
      <c r="E23" s="280"/>
      <c r="F23" s="279">
        <f>IF('12 (2)'!F23="n/a","n/a",'12 (1)'!$I24+'12 (2)'!F23)</f>
        <v>0.13704518037244109</v>
      </c>
      <c r="G23" s="192"/>
      <c r="H23" s="279">
        <f>IF('12 (2)'!H23="n/a","n/a",'12 (1)'!$I24+'12 (2)'!H23)</f>
        <v>0.12164518037244107</v>
      </c>
      <c r="L23" s="281">
        <f t="shared" si="0"/>
        <v>0.11704518037244108</v>
      </c>
      <c r="M23" s="281">
        <f t="shared" si="1"/>
        <v>0.13704518037244109</v>
      </c>
      <c r="N23" s="281">
        <f t="shared" si="2"/>
        <v>0.12164518037244107</v>
      </c>
    </row>
    <row r="24" spans="1:14">
      <c r="A24" s="162">
        <f t="shared" si="3"/>
        <v>18</v>
      </c>
      <c r="B24" s="216" t="str">
        <f>'12 (1)'!B25</f>
        <v>Gen'l Mills</v>
      </c>
      <c r="C24" s="278"/>
      <c r="D24" s="279">
        <f>IF('12 (2)'!D24="n/a","n/a",'12 (1)'!$I25+'12 (2)'!D24)</f>
        <v>7.3288243886797375E-2</v>
      </c>
      <c r="E24" s="280"/>
      <c r="F24" s="279">
        <f>IF('12 (2)'!F24="n/a","n/a",'12 (1)'!$I25+'12 (2)'!F24)</f>
        <v>2.5288243886797377E-2</v>
      </c>
      <c r="G24" s="192"/>
      <c r="H24" s="279">
        <f>IF('12 (2)'!H24="n/a","n/a",'12 (1)'!$I25+'12 (2)'!H24)</f>
        <v>0.15188824388679739</v>
      </c>
      <c r="L24" s="281" t="str">
        <f t="shared" si="0"/>
        <v>LOW</v>
      </c>
      <c r="M24" s="281" t="str">
        <f t="shared" si="1"/>
        <v>LOW</v>
      </c>
      <c r="N24" s="281">
        <f t="shared" si="2"/>
        <v>0.15188824388679739</v>
      </c>
    </row>
    <row r="25" spans="1:14">
      <c r="A25" s="162">
        <f t="shared" si="3"/>
        <v>19</v>
      </c>
      <c r="B25" s="216" t="str">
        <f>'12 (1)'!B26</f>
        <v>Gilead Sciences</v>
      </c>
      <c r="C25" s="278"/>
      <c r="D25" s="279">
        <f>IF('12 (2)'!D25="n/a","n/a",'12 (1)'!$I26+'12 (2)'!D25)</f>
        <v>9.560591972725864E-2</v>
      </c>
      <c r="E25" s="280"/>
      <c r="F25" s="279">
        <f>IF('12 (2)'!F25="n/a","n/a",'12 (1)'!$I26+'12 (2)'!F25)</f>
        <v>0.3136059197272586</v>
      </c>
      <c r="G25" s="192"/>
      <c r="H25" s="279">
        <f>IF('12 (2)'!H25="n/a","n/a",'12 (1)'!$I26+'12 (2)'!H25)</f>
        <v>0.22550591972725861</v>
      </c>
      <c r="L25" s="281">
        <f t="shared" si="0"/>
        <v>9.560591972725864E-2</v>
      </c>
      <c r="M25" s="281" t="str">
        <f t="shared" si="1"/>
        <v>HIGH</v>
      </c>
      <c r="N25" s="281" t="str">
        <f t="shared" si="2"/>
        <v>HIGH</v>
      </c>
    </row>
    <row r="26" spans="1:14">
      <c r="A26" s="162">
        <f t="shared" si="3"/>
        <v>20</v>
      </c>
      <c r="B26" s="216" t="str">
        <f>'12 (1)'!B27</f>
        <v>Hershey Co.</v>
      </c>
      <c r="C26" s="278"/>
      <c r="D26" s="279">
        <f>IF('12 (2)'!D26="n/a","n/a",'12 (1)'!$I27+'12 (2)'!D26)</f>
        <v>8.4080315742321332E-2</v>
      </c>
      <c r="E26" s="280"/>
      <c r="F26" s="279">
        <f>IF('12 (2)'!F26="n/a","n/a",'12 (1)'!$I27+'12 (2)'!F26)</f>
        <v>-4.9919684257678669E-2</v>
      </c>
      <c r="G26" s="192"/>
      <c r="H26" s="279">
        <f>IF('12 (2)'!H26="n/a","n/a",'12 (1)'!$I27+'12 (2)'!H26)</f>
        <v>8.0180315742321345E-2</v>
      </c>
      <c r="L26" s="281">
        <f t="shared" si="0"/>
        <v>8.4080315742321332E-2</v>
      </c>
      <c r="M26" s="281" t="str">
        <f t="shared" si="1"/>
        <v>LOW</v>
      </c>
      <c r="N26" s="281">
        <f t="shared" si="2"/>
        <v>8.0180315742321345E-2</v>
      </c>
    </row>
    <row r="27" spans="1:14">
      <c r="A27" s="162">
        <f t="shared" si="3"/>
        <v>21</v>
      </c>
      <c r="B27" s="216" t="str">
        <f>'12 (1)'!B28</f>
        <v>Home Depot</v>
      </c>
      <c r="C27" s="278"/>
      <c r="D27" s="279">
        <f>IF('12 (2)'!D27="n/a","n/a",'12 (1)'!$I28+'12 (2)'!D27)</f>
        <v>8.5556975387521522E-2</v>
      </c>
      <c r="E27" s="280"/>
      <c r="F27" s="279">
        <f>IF('12 (2)'!F27="n/a","n/a",'12 (1)'!$I28+'12 (2)'!F27)</f>
        <v>7.6556975387521514E-2</v>
      </c>
      <c r="G27" s="192"/>
      <c r="H27" s="279">
        <f>IF('12 (2)'!H27="n/a","n/a",'12 (1)'!$I28+'12 (2)'!H27)</f>
        <v>9.6056975387521504E-2</v>
      </c>
      <c r="L27" s="281">
        <f t="shared" si="0"/>
        <v>8.5556975387521522E-2</v>
      </c>
      <c r="M27" s="281">
        <f t="shared" si="1"/>
        <v>7.6556975387521514E-2</v>
      </c>
      <c r="N27" s="281">
        <f t="shared" si="2"/>
        <v>9.6056975387521504E-2</v>
      </c>
    </row>
    <row r="28" spans="1:14">
      <c r="A28" s="162">
        <f t="shared" si="3"/>
        <v>22</v>
      </c>
      <c r="B28" s="216" t="str">
        <f>'12 (1)'!B29</f>
        <v>Hormel Foods</v>
      </c>
      <c r="C28" s="278"/>
      <c r="D28" s="279">
        <f>IF('12 (2)'!D28="n/a","n/a",'12 (1)'!$I29+'12 (2)'!D28)</f>
        <v>8.8883550470401584E-2</v>
      </c>
      <c r="E28" s="280"/>
      <c r="F28" s="279">
        <f>IF('12 (2)'!F28="n/a","n/a",'12 (1)'!$I29+'12 (2)'!F28)</f>
        <v>0.10688355047040157</v>
      </c>
      <c r="G28" s="192"/>
      <c r="H28" s="279">
        <f>IF('12 (2)'!H28="n/a","n/a",'12 (1)'!$I29+'12 (2)'!H28)</f>
        <v>9.3783550470401572E-2</v>
      </c>
      <c r="L28" s="281">
        <f t="shared" si="0"/>
        <v>8.8883550470401584E-2</v>
      </c>
      <c r="M28" s="281">
        <f t="shared" si="1"/>
        <v>0.10688355047040157</v>
      </c>
      <c r="N28" s="281">
        <f t="shared" si="2"/>
        <v>9.3783550470401572E-2</v>
      </c>
    </row>
    <row r="29" spans="1:14">
      <c r="A29" s="162">
        <f t="shared" si="3"/>
        <v>23</v>
      </c>
      <c r="B29" s="216" t="str">
        <f>'12 (1)'!B30</f>
        <v>Int'l Business Mach.</v>
      </c>
      <c r="C29" s="278"/>
      <c r="D29" s="279">
        <f>IF('12 (2)'!D29="n/a","n/a",'12 (1)'!$I30+'12 (2)'!D29)</f>
        <v>8.9515575615215282E-2</v>
      </c>
      <c r="E29" s="280"/>
      <c r="F29" s="279">
        <f>IF('12 (2)'!F29="n/a","n/a",'12 (1)'!$I30+'12 (2)'!F29)</f>
        <v>6.6515575615215289E-2</v>
      </c>
      <c r="G29" s="192"/>
      <c r="H29" s="279">
        <f>IF('12 (2)'!H29="n/a","n/a",'12 (1)'!$I30+'12 (2)'!H29)</f>
        <v>7.3015575615215281E-2</v>
      </c>
      <c r="L29" s="281">
        <f t="shared" si="0"/>
        <v>8.9515575615215282E-2</v>
      </c>
      <c r="M29" s="281" t="str">
        <f t="shared" si="1"/>
        <v>LOW</v>
      </c>
      <c r="N29" s="281" t="str">
        <f t="shared" si="2"/>
        <v>LOW</v>
      </c>
    </row>
    <row r="30" spans="1:14">
      <c r="A30" s="162">
        <f t="shared" si="3"/>
        <v>24</v>
      </c>
      <c r="B30" s="216" t="str">
        <f>'12 (1)'!B31</f>
        <v>Johnson &amp; Johnson</v>
      </c>
      <c r="C30" s="278"/>
      <c r="D30" s="279">
        <f>IF('12 (2)'!D30="n/a","n/a",'12 (1)'!$I31+'12 (2)'!D30)</f>
        <v>7.8853432000173612E-2</v>
      </c>
      <c r="E30" s="280"/>
      <c r="F30" s="279">
        <f>IF('12 (2)'!F30="n/a","n/a",'12 (1)'!$I31+'12 (2)'!F30)</f>
        <v>8.6853432000173619E-2</v>
      </c>
      <c r="G30" s="192"/>
      <c r="H30" s="279">
        <f>IF('12 (2)'!H30="n/a","n/a",'12 (1)'!$I31+'12 (2)'!H30)</f>
        <v>9.6153432000173622E-2</v>
      </c>
      <c r="L30" s="281">
        <f t="shared" si="0"/>
        <v>7.8853432000173612E-2</v>
      </c>
      <c r="M30" s="281">
        <f t="shared" si="1"/>
        <v>8.6853432000173619E-2</v>
      </c>
      <c r="N30" s="281">
        <f t="shared" si="2"/>
        <v>9.6153432000173622E-2</v>
      </c>
    </row>
    <row r="31" spans="1:14">
      <c r="A31" s="162">
        <f t="shared" si="3"/>
        <v>25</v>
      </c>
      <c r="B31" s="216" t="str">
        <f>'12 (1)'!B32</f>
        <v>Kimberly-Clark</v>
      </c>
      <c r="C31" s="278"/>
      <c r="D31" s="279">
        <f>IF('12 (2)'!D31="n/a","n/a",'12 (1)'!$I32+'12 (2)'!D31)</f>
        <v>0.10223385917130039</v>
      </c>
      <c r="E31" s="280"/>
      <c r="F31" s="279">
        <f>IF('12 (2)'!F31="n/a","n/a",'12 (1)'!$I32+'12 (2)'!F31)</f>
        <v>7.6233859171300378E-2</v>
      </c>
      <c r="G31" s="192"/>
      <c r="H31" s="279">
        <f>IF('12 (2)'!H31="n/a","n/a",'12 (1)'!$I32+'12 (2)'!H31)</f>
        <v>7.6933859171300384E-2</v>
      </c>
      <c r="L31" s="281">
        <f t="shared" si="0"/>
        <v>0.10223385917130039</v>
      </c>
      <c r="M31" s="281">
        <f t="shared" si="1"/>
        <v>7.6233859171300378E-2</v>
      </c>
      <c r="N31" s="281">
        <f t="shared" si="2"/>
        <v>7.6933859171300384E-2</v>
      </c>
    </row>
    <row r="32" spans="1:14">
      <c r="A32" s="162">
        <f t="shared" si="3"/>
        <v>26</v>
      </c>
      <c r="B32" s="216" t="str">
        <f>'12 (1)'!B33</f>
        <v>Lilly (Eli)</v>
      </c>
      <c r="C32" s="278"/>
      <c r="D32" s="279">
        <f>IF('12 (2)'!D32="n/a","n/a",'12 (1)'!$I33+'12 (2)'!D32)</f>
        <v>0.26263873858963421</v>
      </c>
      <c r="E32" s="280"/>
      <c r="F32" s="279">
        <f>IF('12 (2)'!F32="n/a","n/a",'12 (1)'!$I33+'12 (2)'!F32)</f>
        <v>0.42663873858963419</v>
      </c>
      <c r="G32" s="192"/>
      <c r="H32" s="279">
        <f>IF('12 (2)'!H32="n/a","n/a",'12 (1)'!$I33+'12 (2)'!H32)</f>
        <v>0.3197387385896342</v>
      </c>
      <c r="L32" s="281" t="str">
        <f t="shared" si="0"/>
        <v>HIGH</v>
      </c>
      <c r="M32" s="281" t="str">
        <f t="shared" si="1"/>
        <v>HIGH</v>
      </c>
      <c r="N32" s="281" t="str">
        <f t="shared" si="2"/>
        <v>HIGH</v>
      </c>
    </row>
    <row r="33" spans="1:14">
      <c r="A33" s="162">
        <f t="shared" si="3"/>
        <v>27</v>
      </c>
      <c r="B33" s="216" t="str">
        <f>'12 (1)'!B34</f>
        <v>Lockheed Martin</v>
      </c>
      <c r="C33" s="278"/>
      <c r="D33" s="279">
        <f>IF('12 (2)'!D33="n/a","n/a",'12 (1)'!$I34+'12 (2)'!D33)</f>
        <v>0.12324983699273351</v>
      </c>
      <c r="E33" s="280"/>
      <c r="F33" s="279">
        <f>IF('12 (2)'!F33="n/a","n/a",'12 (1)'!$I34+'12 (2)'!F33)</f>
        <v>0.12124983699273351</v>
      </c>
      <c r="G33" s="192"/>
      <c r="H33" s="279">
        <f>IF('12 (2)'!H33="n/a","n/a",'12 (1)'!$I34+'12 (2)'!H33)</f>
        <v>0.13344983699273352</v>
      </c>
      <c r="L33" s="281">
        <f t="shared" si="0"/>
        <v>0.12324983699273351</v>
      </c>
      <c r="M33" s="281">
        <f t="shared" si="1"/>
        <v>0.12124983699273351</v>
      </c>
      <c r="N33" s="281">
        <f t="shared" si="2"/>
        <v>0.13344983699273352</v>
      </c>
    </row>
    <row r="34" spans="1:14">
      <c r="A34" s="162">
        <f t="shared" si="3"/>
        <v>28</v>
      </c>
      <c r="B34" s="216" t="str">
        <f>'12 (1)'!B35</f>
        <v>Marsh &amp; McLennan</v>
      </c>
      <c r="C34" s="278"/>
      <c r="D34" s="279">
        <f>IF('12 (2)'!D34="n/a","n/a",'12 (1)'!$I35+'12 (2)'!D34)</f>
        <v>0.11989916458255734</v>
      </c>
      <c r="E34" s="280"/>
      <c r="F34" s="279">
        <f>IF('12 (2)'!F34="n/a","n/a",'12 (1)'!$I35+'12 (2)'!F34)</f>
        <v>9.9899164582557348E-2</v>
      </c>
      <c r="G34" s="192"/>
      <c r="H34" s="279">
        <f>IF('12 (2)'!H34="n/a","n/a",'12 (1)'!$I35+'12 (2)'!H34)</f>
        <v>0.10009916458255733</v>
      </c>
      <c r="L34" s="281">
        <f t="shared" si="0"/>
        <v>0.11989916458255734</v>
      </c>
      <c r="M34" s="281">
        <f t="shared" si="1"/>
        <v>9.9899164582557348E-2</v>
      </c>
      <c r="N34" s="281">
        <f t="shared" si="2"/>
        <v>0.10009916458255733</v>
      </c>
    </row>
    <row r="35" spans="1:14">
      <c r="A35" s="162">
        <f t="shared" si="3"/>
        <v>29</v>
      </c>
      <c r="B35" s="216" t="str">
        <f>'12 (1)'!B36</f>
        <v>McDonald's Corp.</v>
      </c>
      <c r="C35" s="278"/>
      <c r="D35" s="279">
        <f>IF('12 (2)'!D35="n/a","n/a",'12 (1)'!$I36+'12 (2)'!D35)</f>
        <v>0.10827030957822564</v>
      </c>
      <c r="E35" s="280"/>
      <c r="F35" s="279">
        <f>IF('12 (2)'!F35="n/a","n/a",'12 (1)'!$I36+'12 (2)'!F35)</f>
        <v>9.8270309578225634E-2</v>
      </c>
      <c r="G35" s="192"/>
      <c r="H35" s="279">
        <f>IF('12 (2)'!H35="n/a","n/a",'12 (1)'!$I36+'12 (2)'!H35)</f>
        <v>0.10147030957822564</v>
      </c>
      <c r="L35" s="281">
        <f t="shared" si="0"/>
        <v>0.10827030957822564</v>
      </c>
      <c r="M35" s="281">
        <f t="shared" si="1"/>
        <v>9.8270309578225634E-2</v>
      </c>
      <c r="N35" s="281">
        <f t="shared" si="2"/>
        <v>0.10147030957822564</v>
      </c>
    </row>
    <row r="36" spans="1:14">
      <c r="A36" s="162">
        <f t="shared" si="3"/>
        <v>30</v>
      </c>
      <c r="B36" s="216" t="str">
        <f>'12 (1)'!B37</f>
        <v>McKesson Corp.</v>
      </c>
      <c r="C36" s="278"/>
      <c r="D36" s="279">
        <f>IF('12 (2)'!D36="n/a","n/a",'12 (1)'!$I37+'12 (2)'!D36)</f>
        <v>0.10447240054301558</v>
      </c>
      <c r="E36" s="280"/>
      <c r="F36" s="279">
        <f>IF('12 (2)'!F36="n/a","n/a",'12 (1)'!$I37+'12 (2)'!F36)</f>
        <v>0.12747240054301556</v>
      </c>
      <c r="G36" s="192"/>
      <c r="H36" s="279">
        <f>IF('12 (2)'!H36="n/a","n/a",'12 (1)'!$I37+'12 (2)'!H36)</f>
        <v>0.13897240054301557</v>
      </c>
      <c r="L36" s="281">
        <f t="shared" si="0"/>
        <v>0.10447240054301558</v>
      </c>
      <c r="M36" s="281">
        <f t="shared" si="1"/>
        <v>0.12747240054301556</v>
      </c>
      <c r="N36" s="281">
        <f t="shared" si="2"/>
        <v>0.13897240054301557</v>
      </c>
    </row>
    <row r="37" spans="1:14">
      <c r="A37" s="162">
        <f t="shared" si="3"/>
        <v>31</v>
      </c>
      <c r="B37" s="216" t="str">
        <f>'12 (1)'!B38</f>
        <v>Merck &amp; Co.</v>
      </c>
      <c r="C37" s="278"/>
      <c r="D37" s="279">
        <f>IF('12 (2)'!D37="n/a","n/a",'12 (1)'!$I38+'12 (2)'!D37)</f>
        <v>0.17581101393536577</v>
      </c>
      <c r="E37" s="280"/>
      <c r="F37" s="279">
        <f>IF('12 (2)'!F37="n/a","n/a",'12 (1)'!$I38+'12 (2)'!F37)</f>
        <v>0.17781101393536577</v>
      </c>
      <c r="G37" s="192"/>
      <c r="H37" s="279">
        <f>IF('12 (2)'!H37="n/a","n/a",'12 (1)'!$I38+'12 (2)'!H37)</f>
        <v>0.16231101393536576</v>
      </c>
      <c r="L37" s="281" t="str">
        <f t="shared" si="0"/>
        <v>HIGH</v>
      </c>
      <c r="M37" s="281" t="str">
        <f t="shared" si="1"/>
        <v>HIGH</v>
      </c>
      <c r="N37" s="281" t="str">
        <f t="shared" si="2"/>
        <v>HIGH</v>
      </c>
    </row>
    <row r="38" spans="1:14">
      <c r="A38" s="162">
        <f t="shared" si="3"/>
        <v>32</v>
      </c>
      <c r="B38" s="216" t="str">
        <f>'12 (1)'!B39</f>
        <v>Microsoft Corp.</v>
      </c>
      <c r="C38" s="278"/>
      <c r="D38" s="279">
        <f>IF('12 (2)'!D38="n/a","n/a",'12 (1)'!$I39+'12 (2)'!D38)</f>
        <v>0.12860401848634828</v>
      </c>
      <c r="E38" s="280"/>
      <c r="F38" s="279">
        <f>IF('12 (2)'!F38="n/a","n/a",'12 (1)'!$I39+'12 (2)'!F38)</f>
        <v>0.1456040184863483</v>
      </c>
      <c r="G38" s="192"/>
      <c r="H38" s="279">
        <f>IF('12 (2)'!H38="n/a","n/a",'12 (1)'!$I39+'12 (2)'!H38)</f>
        <v>0.1562040184863483</v>
      </c>
      <c r="L38" s="281">
        <f t="shared" si="0"/>
        <v>0.12860401848634828</v>
      </c>
      <c r="M38" s="281">
        <f t="shared" si="1"/>
        <v>0.1456040184863483</v>
      </c>
      <c r="N38" s="281">
        <f t="shared" si="2"/>
        <v>0.1562040184863483</v>
      </c>
    </row>
    <row r="39" spans="1:14">
      <c r="A39" s="162">
        <f t="shared" si="3"/>
        <v>33</v>
      </c>
      <c r="B39" s="216" t="str">
        <f>'12 (1)'!B40</f>
        <v>Mondelez Int'l</v>
      </c>
      <c r="C39" s="278"/>
      <c r="D39" s="279">
        <f>IF('12 (2)'!D39="n/a","n/a",'12 (1)'!$I40+'12 (2)'!D39)</f>
        <v>9.3306858390423852E-2</v>
      </c>
      <c r="E39" s="280"/>
      <c r="F39" s="279">
        <f>IF('12 (2)'!F39="n/a","n/a",'12 (1)'!$I40+'12 (2)'!F39)</f>
        <v>5.130685839042385E-2</v>
      </c>
      <c r="G39" s="192"/>
      <c r="H39" s="279">
        <f>IF('12 (2)'!H39="n/a","n/a",'12 (1)'!$I40+'12 (2)'!H39)</f>
        <v>7.1006858390423852E-2</v>
      </c>
      <c r="L39" s="281">
        <f t="shared" si="0"/>
        <v>9.3306858390423852E-2</v>
      </c>
      <c r="M39" s="281" t="str">
        <f t="shared" si="1"/>
        <v>LOW</v>
      </c>
      <c r="N39" s="281" t="str">
        <f t="shared" si="2"/>
        <v>LOW</v>
      </c>
    </row>
    <row r="40" spans="1:14">
      <c r="A40" s="162">
        <f t="shared" si="3"/>
        <v>34</v>
      </c>
      <c r="B40" s="216" t="str">
        <f>'12 (1)'!B41</f>
        <v>NewMarket Corp.</v>
      </c>
      <c r="C40" s="278"/>
      <c r="D40" s="279">
        <f>IF('12 (2)'!D40="n/a","n/a",'12 (1)'!$I41+'12 (2)'!D40)</f>
        <v>7.3388959937143186E-2</v>
      </c>
      <c r="E40" s="280"/>
      <c r="F40" s="279" t="str">
        <f>IF('12 (2)'!F40="n/a","n/a",'12 (1)'!$I41+'12 (2)'!F40)</f>
        <v>n/a</v>
      </c>
      <c r="G40" s="192"/>
      <c r="H40" s="279" t="str">
        <f>IF('12 (2)'!H40="n/a","n/a",'12 (1)'!$I41+'12 (2)'!H40)</f>
        <v>n/a</v>
      </c>
      <c r="L40" s="281" t="str">
        <f t="shared" si="0"/>
        <v>LOW</v>
      </c>
      <c r="M40" s="281" t="str">
        <f t="shared" si="1"/>
        <v>n/a</v>
      </c>
      <c r="N40" s="281" t="str">
        <f t="shared" si="2"/>
        <v>n/a</v>
      </c>
    </row>
    <row r="41" spans="1:14">
      <c r="A41" s="162">
        <f t="shared" si="3"/>
        <v>35</v>
      </c>
      <c r="B41" s="216" t="str">
        <f>'12 (1)'!B42</f>
        <v>Northrop Grumman</v>
      </c>
      <c r="C41" s="278"/>
      <c r="D41" s="279">
        <f>IF('12 (2)'!D41="n/a","n/a",'12 (1)'!$I42+'12 (2)'!D41)</f>
        <v>9.2959400378149676E-2</v>
      </c>
      <c r="E41" s="280"/>
      <c r="F41" s="279">
        <f>IF('12 (2)'!F41="n/a","n/a",'12 (1)'!$I42+'12 (2)'!F41)</f>
        <v>5.9959400378149674E-2</v>
      </c>
      <c r="G41" s="192"/>
      <c r="H41" s="279">
        <f>IF('12 (2)'!H41="n/a","n/a",'12 (1)'!$I42+'12 (2)'!H41)</f>
        <v>5.0759400378149674E-2</v>
      </c>
      <c r="L41" s="281">
        <f t="shared" si="0"/>
        <v>9.2959400378149676E-2</v>
      </c>
      <c r="M41" s="281" t="str">
        <f t="shared" si="1"/>
        <v>LOW</v>
      </c>
      <c r="N41" s="281" t="str">
        <f t="shared" si="2"/>
        <v>LOW</v>
      </c>
    </row>
    <row r="42" spans="1:14">
      <c r="A42" s="162">
        <f t="shared" si="3"/>
        <v>36</v>
      </c>
      <c r="B42" s="216" t="str">
        <f>'12 (1)'!B43</f>
        <v>PepsiCo, Inc.</v>
      </c>
      <c r="C42" s="278"/>
      <c r="D42" s="279">
        <f>IF('12 (2)'!D42="n/a","n/a",'12 (1)'!$I43+'12 (2)'!D42)</f>
        <v>9.966351871027701E-2</v>
      </c>
      <c r="E42" s="280"/>
      <c r="F42" s="279">
        <f>IF('12 (2)'!F42="n/a","n/a",'12 (1)'!$I43+'12 (2)'!F42)</f>
        <v>7.5663518710277017E-2</v>
      </c>
      <c r="G42" s="192"/>
      <c r="H42" s="279">
        <f>IF('12 (2)'!H42="n/a","n/a",'12 (1)'!$I43+'12 (2)'!H42)</f>
        <v>8.386351871027703E-2</v>
      </c>
      <c r="L42" s="281">
        <f t="shared" si="0"/>
        <v>9.966351871027701E-2</v>
      </c>
      <c r="M42" s="281">
        <f t="shared" si="1"/>
        <v>7.5663518710277017E-2</v>
      </c>
      <c r="N42" s="281">
        <f t="shared" si="2"/>
        <v>8.386351871027703E-2</v>
      </c>
    </row>
    <row r="43" spans="1:14">
      <c r="A43" s="162">
        <f t="shared" si="3"/>
        <v>37</v>
      </c>
      <c r="B43" s="216" t="str">
        <f>'12 (1)'!B44</f>
        <v>Procter &amp; Gamble</v>
      </c>
      <c r="C43" s="278"/>
      <c r="D43" s="279">
        <f>IF('12 (2)'!D43="n/a","n/a",'12 (1)'!$I44+'12 (2)'!D43)</f>
        <v>7.1031249807688768E-2</v>
      </c>
      <c r="E43" s="280"/>
      <c r="F43" s="279">
        <f>IF('12 (2)'!F43="n/a","n/a",'12 (1)'!$I44+'12 (2)'!F43)</f>
        <v>6.9031249807688766E-2</v>
      </c>
      <c r="G43" s="192"/>
      <c r="H43" s="279">
        <f>IF('12 (2)'!H43="n/a","n/a",'12 (1)'!$I44+'12 (2)'!H43)</f>
        <v>7.5631249807688761E-2</v>
      </c>
      <c r="L43" s="281" t="str">
        <f t="shared" si="0"/>
        <v>LOW</v>
      </c>
      <c r="M43" s="281" t="str">
        <f t="shared" si="1"/>
        <v>LOW</v>
      </c>
      <c r="N43" s="281">
        <f t="shared" si="2"/>
        <v>7.5631249807688761E-2</v>
      </c>
    </row>
    <row r="44" spans="1:14">
      <c r="A44" s="162">
        <f t="shared" si="3"/>
        <v>38</v>
      </c>
      <c r="B44" s="216" t="str">
        <f>'12 (1)'!B45</f>
        <v>Progressive Corp.</v>
      </c>
      <c r="C44" s="278"/>
      <c r="D44" s="279">
        <f>IF('12 (2)'!D44="n/a","n/a",'12 (1)'!$I45+'12 (2)'!D44)</f>
        <v>0.23645406781529946</v>
      </c>
      <c r="E44" s="280"/>
      <c r="F44" s="279" t="str">
        <f>IF('12 (2)'!F44="n/a","n/a",'12 (1)'!$I45+'12 (2)'!F44)</f>
        <v>n/a</v>
      </c>
      <c r="G44" s="192"/>
      <c r="H44" s="279">
        <f>IF('12 (2)'!H44="n/a","n/a",'12 (1)'!$I45+'12 (2)'!H44)</f>
        <v>0.10365406781529946</v>
      </c>
      <c r="L44" s="281" t="str">
        <f t="shared" si="0"/>
        <v>HIGH</v>
      </c>
      <c r="M44" s="281" t="str">
        <f t="shared" si="1"/>
        <v>n/a</v>
      </c>
      <c r="N44" s="281">
        <f t="shared" si="2"/>
        <v>0.10365406781529946</v>
      </c>
    </row>
    <row r="45" spans="1:14">
      <c r="A45" s="162">
        <f t="shared" si="3"/>
        <v>39</v>
      </c>
      <c r="B45" s="216" t="str">
        <f>'12 (1)'!B46</f>
        <v>Republic Services</v>
      </c>
      <c r="C45" s="278"/>
      <c r="D45" s="279">
        <f>IF('12 (2)'!D45="n/a","n/a",'12 (1)'!$I46+'12 (2)'!D45)</f>
        <v>0.12950553465218073</v>
      </c>
      <c r="E45" s="280"/>
      <c r="F45" s="279">
        <f>IF('12 (2)'!F45="n/a","n/a",'12 (1)'!$I46+'12 (2)'!F45)</f>
        <v>0.10150553465218073</v>
      </c>
      <c r="G45" s="192"/>
      <c r="H45" s="279">
        <f>IF('12 (2)'!H45="n/a","n/a",'12 (1)'!$I46+'12 (2)'!H45)</f>
        <v>0.10410553465218075</v>
      </c>
      <c r="L45" s="281">
        <f t="shared" si="0"/>
        <v>0.12950553465218073</v>
      </c>
      <c r="M45" s="281">
        <f t="shared" si="1"/>
        <v>0.10150553465218073</v>
      </c>
      <c r="N45" s="281">
        <f t="shared" si="2"/>
        <v>0.10410553465218075</v>
      </c>
    </row>
    <row r="46" spans="1:14">
      <c r="A46" s="162">
        <f t="shared" si="3"/>
        <v>40</v>
      </c>
      <c r="B46" s="216" t="str">
        <f>'12 (1)'!B47</f>
        <v>Roper Tech.</v>
      </c>
      <c r="C46" s="278"/>
      <c r="D46" s="279">
        <f>IF('12 (2)'!D46="n/a","n/a",'12 (1)'!$I47+'12 (2)'!D46)</f>
        <v>8.1185478801217362E-2</v>
      </c>
      <c r="E46" s="280"/>
      <c r="F46" s="279">
        <f>IF('12 (2)'!F46="n/a","n/a",'12 (1)'!$I47+'12 (2)'!F46)</f>
        <v>8.5185478801217365E-2</v>
      </c>
      <c r="G46" s="192"/>
      <c r="H46" s="279">
        <f>IF('12 (2)'!H46="n/a","n/a",'12 (1)'!$I47+'12 (2)'!H46)</f>
        <v>0.11118547880121736</v>
      </c>
      <c r="L46" s="281">
        <f t="shared" si="0"/>
        <v>8.1185478801217362E-2</v>
      </c>
      <c r="M46" s="281">
        <f t="shared" si="1"/>
        <v>8.5185478801217365E-2</v>
      </c>
      <c r="N46" s="281">
        <f t="shared" si="2"/>
        <v>0.11118547880121736</v>
      </c>
    </row>
    <row r="47" spans="1:14">
      <c r="A47" s="162">
        <f t="shared" si="3"/>
        <v>41</v>
      </c>
      <c r="B47" s="216" t="str">
        <f>'12 (1)'!B48</f>
        <v>Thermo Fisher Sci.</v>
      </c>
      <c r="C47" s="278"/>
      <c r="D47" s="279">
        <f>IF('12 (2)'!D47="n/a","n/a",'12 (1)'!$I48+'12 (2)'!D47)</f>
        <v>8.4049943018243589E-2</v>
      </c>
      <c r="E47" s="280"/>
      <c r="F47" s="279">
        <f>IF('12 (2)'!F47="n/a","n/a",'12 (1)'!$I48+'12 (2)'!F47)</f>
        <v>7.6049943018243582E-2</v>
      </c>
      <c r="G47" s="192"/>
      <c r="H47" s="279">
        <f>IF('12 (2)'!H47="n/a","n/a",'12 (1)'!$I48+'12 (2)'!H47)</f>
        <v>8.8849943018243588E-2</v>
      </c>
      <c r="L47" s="281">
        <f t="shared" si="0"/>
        <v>8.4049943018243589E-2</v>
      </c>
      <c r="M47" s="281">
        <f t="shared" si="1"/>
        <v>7.6049943018243582E-2</v>
      </c>
      <c r="N47" s="281">
        <f t="shared" si="2"/>
        <v>8.8849943018243588E-2</v>
      </c>
    </row>
    <row r="48" spans="1:14">
      <c r="A48" s="162">
        <f t="shared" si="3"/>
        <v>42</v>
      </c>
      <c r="B48" s="216" t="str">
        <f>'12 (1)'!B49</f>
        <v>T-Mobile US</v>
      </c>
      <c r="C48" s="278"/>
      <c r="D48" s="279">
        <f>IF('12 (2)'!D48="n/a","n/a",'12 (1)'!$I49+'12 (2)'!D48)</f>
        <v>0.19458793102526969</v>
      </c>
      <c r="E48" s="280"/>
      <c r="F48" s="279">
        <f>IF('12 (2)'!F48="n/a","n/a",'12 (1)'!$I49+'12 (2)'!F48)</f>
        <v>0.19158793102526969</v>
      </c>
      <c r="G48" s="192"/>
      <c r="H48" s="279">
        <f>IF('12 (2)'!H48="n/a","n/a",'12 (1)'!$I49+'12 (2)'!H48)</f>
        <v>0.1866879310252697</v>
      </c>
      <c r="L48" s="281" t="str">
        <f t="shared" si="0"/>
        <v>HIGH</v>
      </c>
      <c r="M48" s="281" t="str">
        <f t="shared" si="1"/>
        <v>HIGH</v>
      </c>
      <c r="N48" s="281" t="str">
        <f t="shared" si="2"/>
        <v>HIGH</v>
      </c>
    </row>
    <row r="49" spans="1:14">
      <c r="A49" s="162">
        <f t="shared" si="3"/>
        <v>43</v>
      </c>
      <c r="B49" s="216" t="str">
        <f>'12 (1)'!B50</f>
        <v>Verizon Communic.</v>
      </c>
      <c r="C49" s="278"/>
      <c r="D49" s="279">
        <f>IF('12 (2)'!D49="n/a","n/a",'12 (1)'!$I50+'12 (2)'!D49)</f>
        <v>6.7804014531124931E-2</v>
      </c>
      <c r="E49" s="280"/>
      <c r="F49" s="279">
        <f>IF('12 (2)'!F49="n/a","n/a",'12 (1)'!$I50+'12 (2)'!F49)</f>
        <v>8.8804014531124922E-2</v>
      </c>
      <c r="G49" s="192"/>
      <c r="H49" s="279">
        <f>IF('12 (2)'!H49="n/a","n/a",'12 (1)'!$I50+'12 (2)'!H49)</f>
        <v>9.150401453112493E-2</v>
      </c>
      <c r="L49" s="281" t="str">
        <f t="shared" si="0"/>
        <v>LOW</v>
      </c>
      <c r="M49" s="281">
        <f t="shared" si="1"/>
        <v>8.8804014531124922E-2</v>
      </c>
      <c r="N49" s="281">
        <f t="shared" si="2"/>
        <v>9.150401453112493E-2</v>
      </c>
    </row>
    <row r="50" spans="1:14">
      <c r="A50" s="162">
        <f t="shared" si="3"/>
        <v>44</v>
      </c>
      <c r="B50" s="216" t="str">
        <f>'12 (1)'!B51</f>
        <v>Walmart Inc.</v>
      </c>
      <c r="C50" s="278"/>
      <c r="D50" s="279">
        <f>IF('12 (2)'!D50="n/a","n/a",'12 (1)'!$I51+'12 (2)'!D50)</f>
        <v>0.10992053022067903</v>
      </c>
      <c r="E50" s="280"/>
      <c r="F50" s="279">
        <f>IF('12 (2)'!F50="n/a","n/a",'12 (1)'!$I51+'12 (2)'!F50)</f>
        <v>9.092053022067903E-2</v>
      </c>
      <c r="G50" s="192"/>
      <c r="H50" s="279">
        <f>IF('12 (2)'!H50="n/a","n/a",'12 (1)'!$I51+'12 (2)'!H50)</f>
        <v>8.8920530220679028E-2</v>
      </c>
      <c r="L50" s="281">
        <f t="shared" si="0"/>
        <v>0.10992053022067903</v>
      </c>
      <c r="M50" s="281">
        <f t="shared" si="1"/>
        <v>9.092053022067903E-2</v>
      </c>
      <c r="N50" s="281">
        <f t="shared" si="2"/>
        <v>8.8920530220679028E-2</v>
      </c>
    </row>
    <row r="51" spans="1:14">
      <c r="A51" s="162">
        <f t="shared" si="3"/>
        <v>45</v>
      </c>
      <c r="B51" s="216" t="str">
        <f>'12 (1)'!B52</f>
        <v>Waste Management</v>
      </c>
      <c r="C51" s="278"/>
      <c r="D51" s="279">
        <f>IF('12 (2)'!D51="n/a","n/a",'12 (1)'!$I52+'12 (2)'!D51)</f>
        <v>8.9405091545084289E-2</v>
      </c>
      <c r="E51" s="280"/>
      <c r="F51" s="279">
        <f>IF('12 (2)'!F51="n/a","n/a",'12 (1)'!$I52+'12 (2)'!F51)</f>
        <v>0.11940509154508429</v>
      </c>
      <c r="G51" s="192"/>
      <c r="H51" s="279">
        <f>IF('12 (2)'!H51="n/a","n/a",'12 (1)'!$I52+'12 (2)'!H51)</f>
        <v>0.11420509154508429</v>
      </c>
      <c r="L51" s="281">
        <f t="shared" si="0"/>
        <v>8.9405091545084289E-2</v>
      </c>
      <c r="M51" s="281">
        <f t="shared" si="1"/>
        <v>0.11940509154508429</v>
      </c>
      <c r="N51" s="281">
        <f t="shared" si="2"/>
        <v>0.11420509154508429</v>
      </c>
    </row>
    <row r="52" spans="1:14" ht="2.65" customHeight="1">
      <c r="C52" s="162"/>
      <c r="D52" s="282"/>
      <c r="F52" s="282"/>
      <c r="H52" s="282"/>
    </row>
    <row r="53" spans="1:14" s="7" customFormat="1">
      <c r="A53" s="278"/>
      <c r="B53" s="7" t="s">
        <v>252</v>
      </c>
      <c r="D53" s="641">
        <f>AVERAGE(L7:L51)</f>
        <v>0.10133372162522163</v>
      </c>
      <c r="E53" s="280"/>
      <c r="F53" s="641">
        <f>AVERAGE(M7:M51)</f>
        <v>0.10219528913471697</v>
      </c>
      <c r="G53" s="283"/>
      <c r="H53" s="641">
        <f>AVERAGE(N7:N51)</f>
        <v>0.10541765379836204</v>
      </c>
      <c r="J53" s="642">
        <f>AVERAGE(D53:H53)</f>
        <v>0.10298222151943355</v>
      </c>
      <c r="K53" s="180" t="s">
        <v>244</v>
      </c>
      <c r="L53" s="279">
        <f>MIN(L7:L51)</f>
        <v>7.5533522607638445E-2</v>
      </c>
      <c r="M53" s="279">
        <f>MIN(M7:M51)</f>
        <v>7.5663518710277017E-2</v>
      </c>
      <c r="N53" s="279">
        <f>MIN(N7:N51)</f>
        <v>7.5631249807688761E-2</v>
      </c>
    </row>
    <row r="54" spans="1:14">
      <c r="A54" s="284"/>
      <c r="B54" s="7"/>
      <c r="C54" s="278"/>
      <c r="D54" s="283"/>
      <c r="E54" s="7"/>
      <c r="F54" s="192"/>
      <c r="G54" s="192"/>
      <c r="H54" s="192"/>
      <c r="K54" s="180" t="s">
        <v>245</v>
      </c>
      <c r="L54" s="279">
        <f>MAX(L7:L51)</f>
        <v>0.15287901071949508</v>
      </c>
      <c r="M54" s="279">
        <f>MAX(M7:M51)</f>
        <v>0.15387901071949509</v>
      </c>
      <c r="N54" s="279">
        <f>MAX(N7:N51)</f>
        <v>0.15837876072408358</v>
      </c>
    </row>
    <row r="55" spans="1:14" s="286" customFormat="1" ht="13">
      <c r="A55" s="285" t="s">
        <v>21</v>
      </c>
      <c r="B55" s="8" t="s">
        <v>449</v>
      </c>
      <c r="K55" s="643" t="s">
        <v>450</v>
      </c>
      <c r="L55" s="287">
        <f>AVERAGE(L53,L54)</f>
        <v>0.11420626666356676</v>
      </c>
      <c r="M55" s="287">
        <f>AVERAGE(M53,M54)</f>
        <v>0.11477126471488605</v>
      </c>
      <c r="N55" s="287">
        <f>AVERAGE(N53,N54)</f>
        <v>0.11700500526588617</v>
      </c>
    </row>
    <row r="56" spans="1:14" s="111" customFormat="1" ht="13">
      <c r="A56" s="288" t="s">
        <v>22</v>
      </c>
      <c r="B56" s="644" t="s">
        <v>451</v>
      </c>
      <c r="C56" s="645"/>
      <c r="D56" s="645"/>
      <c r="E56" s="645"/>
      <c r="F56" s="645"/>
      <c r="G56" s="645"/>
      <c r="H56" s="645"/>
      <c r="I56" s="645"/>
      <c r="L56" s="117"/>
      <c r="M56" s="117"/>
      <c r="N56" s="117"/>
    </row>
    <row r="61" spans="1:14" s="216" customFormat="1">
      <c r="B61" s="216" t="s">
        <v>452</v>
      </c>
      <c r="C61" s="289">
        <f>'5 (3)'!D36</f>
        <v>7.5399999999999995E-2</v>
      </c>
    </row>
    <row r="62" spans="1:14">
      <c r="B62" s="4" t="s">
        <v>453</v>
      </c>
      <c r="C62" s="289">
        <f>'5 (3)'!D37</f>
        <v>0.15989999999999999</v>
      </c>
    </row>
  </sheetData>
  <conditionalFormatting sqref="D7:D51 F7:F51 H7:H51">
    <cfRule type="cellIs" dxfId="5" priority="503" operator="equal">
      <formula>"n/a"</formula>
    </cfRule>
    <cfRule type="cellIs" dxfId="4" priority="504" operator="greaterThan">
      <formula>$C$62</formula>
    </cfRule>
    <cfRule type="cellIs" dxfId="3" priority="505" operator="lessThan">
      <formula>$C$61</formula>
    </cfRule>
  </conditionalFormatting>
  <printOptions horizontalCentered="1"/>
  <pageMargins left="0.5" right="0.5" top="0.5" bottom="0.25" header="0.5" footer="0.5"/>
  <pageSetup scale="87" orientation="portrait" r:id="rId1"/>
  <headerFooter alignWithMargins="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
    <pageSetUpPr fitToPage="1"/>
  </sheetPr>
  <dimension ref="A1:U97"/>
  <sheetViews>
    <sheetView zoomScaleNormal="100" zoomScaleSheetLayoutView="100" workbookViewId="0"/>
  </sheetViews>
  <sheetFormatPr defaultColWidth="10.26953125" defaultRowHeight="15.5"/>
  <cols>
    <col min="1" max="1" width="4.26953125" style="19" customWidth="1"/>
    <col min="2" max="2" width="24.54296875" style="1" customWidth="1"/>
    <col min="3" max="3" width="7.7265625" style="1" customWidth="1"/>
    <col min="4" max="4" width="1.26953125" style="1" customWidth="1"/>
    <col min="5" max="5" width="9.453125" style="1" customWidth="1"/>
    <col min="6" max="6" width="3.453125" style="77" customWidth="1"/>
    <col min="7" max="7" width="2.26953125" style="77" customWidth="1"/>
    <col min="8" max="8" width="8.7265625" style="77" customWidth="1"/>
    <col min="9" max="9" width="3.26953125" style="77" customWidth="1"/>
    <col min="10" max="10" width="1.7265625" style="77" customWidth="1"/>
    <col min="11" max="11" width="7.26953125" style="77" customWidth="1"/>
    <col min="12" max="12" width="0.7265625" style="77" customWidth="1"/>
    <col min="13" max="13" width="9.26953125" style="77" customWidth="1"/>
    <col min="14" max="14" width="3.26953125" style="77" customWidth="1"/>
    <col min="15" max="15" width="0.7265625" style="77" customWidth="1"/>
    <col min="16" max="16" width="6.7265625" style="77" customWidth="1"/>
    <col min="17" max="17" width="0.7265625" style="77" customWidth="1"/>
    <col min="18" max="18" width="12.7265625" style="77" customWidth="1"/>
    <col min="19" max="19" width="0.7265625" style="1" customWidth="1"/>
    <col min="20" max="20" width="10.26953125" style="1" customWidth="1"/>
    <col min="21" max="21" width="13.26953125" style="1" customWidth="1"/>
    <col min="22" max="22" width="17.7265625" style="1" customWidth="1"/>
    <col min="23" max="23" width="1.7265625" style="1" customWidth="1"/>
    <col min="24" max="24" width="11.54296875" style="1" customWidth="1"/>
    <col min="25" max="25" width="1.7265625" style="1" customWidth="1"/>
    <col min="26" max="26" width="12" style="1" customWidth="1"/>
    <col min="27" max="27" width="1.7265625" style="1" customWidth="1"/>
    <col min="28" max="28" width="10.453125" style="1" bestFit="1" customWidth="1"/>
    <col min="29" max="29" width="1.7265625" style="1" customWidth="1"/>
    <col min="30" max="30" width="10.26953125" style="1"/>
    <col min="31" max="31" width="1.7265625" style="1" customWidth="1"/>
    <col min="32" max="32" width="10.453125" style="1" bestFit="1" customWidth="1"/>
    <col min="33" max="16384" width="10.26953125" style="1"/>
  </cols>
  <sheetData>
    <row r="1" spans="1:21">
      <c r="A1" s="11" t="s">
        <v>491</v>
      </c>
      <c r="C1" s="65"/>
      <c r="D1" s="65"/>
      <c r="S1" s="63"/>
    </row>
    <row r="2" spans="1:21">
      <c r="B2" s="91"/>
      <c r="C2" s="2"/>
      <c r="D2" s="2"/>
      <c r="S2" s="63"/>
    </row>
    <row r="3" spans="1:21">
      <c r="A3" s="62" t="s">
        <v>492</v>
      </c>
      <c r="B3" s="2"/>
      <c r="C3" s="2"/>
      <c r="D3" s="2"/>
    </row>
    <row r="4" spans="1:21">
      <c r="B4" s="2"/>
      <c r="C4" s="2"/>
      <c r="D4" s="2"/>
      <c r="E4" s="137" t="s">
        <v>21</v>
      </c>
      <c r="F4" s="179"/>
      <c r="G4" s="179"/>
      <c r="H4" s="12" t="s">
        <v>22</v>
      </c>
      <c r="I4" s="179"/>
      <c r="J4" s="179"/>
      <c r="K4" s="1465" t="s">
        <v>23</v>
      </c>
      <c r="L4" s="1465"/>
      <c r="M4" s="1465"/>
      <c r="P4" s="179" t="s">
        <v>24</v>
      </c>
      <c r="Q4" s="179"/>
      <c r="R4" s="179" t="s">
        <v>23</v>
      </c>
    </row>
    <row r="5" spans="1:21" ht="21" customHeight="1">
      <c r="A5" s="138"/>
      <c r="E5" s="175" t="s">
        <v>64</v>
      </c>
      <c r="F5" s="2"/>
      <c r="G5" s="2"/>
      <c r="H5" s="2" t="s">
        <v>63</v>
      </c>
      <c r="I5" s="2"/>
      <c r="J5" s="2"/>
      <c r="K5" s="1463" t="s">
        <v>60</v>
      </c>
      <c r="L5" s="1463"/>
      <c r="M5" s="1463"/>
      <c r="N5" s="1463"/>
      <c r="O5" s="1463"/>
      <c r="P5" s="1463"/>
      <c r="Q5" s="2"/>
      <c r="R5" s="2"/>
    </row>
    <row r="6" spans="1:21">
      <c r="E6" s="175" t="s">
        <v>493</v>
      </c>
      <c r="F6" s="179"/>
      <c r="G6" s="179"/>
      <c r="H6" s="21" t="s">
        <v>494</v>
      </c>
      <c r="I6" s="179"/>
      <c r="J6" s="179"/>
      <c r="K6" s="21" t="s">
        <v>61</v>
      </c>
      <c r="L6" s="21"/>
      <c r="M6" s="21" t="s">
        <v>62</v>
      </c>
      <c r="N6" s="21"/>
      <c r="O6" s="21"/>
      <c r="P6" s="21"/>
      <c r="Q6" s="179"/>
      <c r="R6" s="21" t="s">
        <v>74</v>
      </c>
      <c r="T6" s="1" t="s">
        <v>1896</v>
      </c>
    </row>
    <row r="7" spans="1:21">
      <c r="A7" s="65"/>
      <c r="B7" s="139" t="s">
        <v>78</v>
      </c>
      <c r="C7" s="139" t="s">
        <v>77</v>
      </c>
      <c r="D7" s="65"/>
      <c r="E7" s="182" t="s">
        <v>80</v>
      </c>
      <c r="F7" s="21"/>
      <c r="G7" s="21"/>
      <c r="H7" s="177" t="s">
        <v>79</v>
      </c>
      <c r="I7" s="21"/>
      <c r="J7" s="21"/>
      <c r="K7" s="177" t="s">
        <v>65</v>
      </c>
      <c r="L7" s="21"/>
      <c r="M7" s="177" t="s">
        <v>66</v>
      </c>
      <c r="N7" s="177"/>
      <c r="O7" s="21"/>
      <c r="P7" s="177" t="s">
        <v>67</v>
      </c>
      <c r="Q7" s="21"/>
      <c r="R7" s="177" t="s">
        <v>81</v>
      </c>
      <c r="T7" s="1" t="s">
        <v>1897</v>
      </c>
    </row>
    <row r="8" spans="1:21">
      <c r="A8" s="64">
        <f>A7+1</f>
        <v>1</v>
      </c>
      <c r="B8" s="19" t="str">
        <f>VLOOKUP('Proxy Group Ticker'!$B3,vldatabase,2,FALSE)</f>
        <v>Alliant Energy</v>
      </c>
      <c r="C8" s="19" t="str">
        <f>'Proxy Group Ticker'!B3</f>
        <v>LNT</v>
      </c>
      <c r="D8" s="12"/>
      <c r="E8" s="59" t="str">
        <f>VLOOKUP('Proxy Group Ticker'!$B3,vldatabase,26,FALSE)</f>
        <v>BBB+</v>
      </c>
      <c r="F8" s="19">
        <f>VLOOKUP(E8,'Ordinal Ratings'!A$6:C$28,2,FALSE)</f>
        <v>8</v>
      </c>
      <c r="G8" s="12"/>
      <c r="H8" s="59" t="str">
        <f>VLOOKUP('Proxy Group Ticker'!$B3,vldatabase,27,FALSE)</f>
        <v>Baa2</v>
      </c>
      <c r="I8" s="19">
        <f>VLOOKUP(H8,'Ordinal Ratings'!I$6:K$25,2,FALSE)</f>
        <v>9</v>
      </c>
      <c r="J8" s="12"/>
      <c r="K8" s="12">
        <f>VLOOKUP('Proxy Group Ticker'!$B3,vldatabase,22,FALSE)</f>
        <v>1</v>
      </c>
      <c r="L8" s="140"/>
      <c r="M8" s="59" t="str">
        <f>VLOOKUP('Proxy Group Ticker'!$B3,vldatabase,24,FALSE)</f>
        <v>A+</v>
      </c>
      <c r="N8" s="19">
        <f>VLOOKUP(M8,'Ordinal Ratings'!E$6:G$16,2,FALSE)</f>
        <v>2</v>
      </c>
      <c r="O8" s="141"/>
      <c r="P8" s="142">
        <f>VLOOKUP('Proxy Group Ticker'!$B3,vldatabase,23,FALSE)</f>
        <v>0.8</v>
      </c>
      <c r="Q8" s="142"/>
      <c r="R8" s="143">
        <f>VLOOKUP('Proxy Group Ticker'!$B3,vldatabase,28,FALSE)</f>
        <v>16300</v>
      </c>
      <c r="S8" s="19"/>
      <c r="T8" s="1278">
        <v>0.28000000000000003</v>
      </c>
    </row>
    <row r="9" spans="1:21">
      <c r="A9" s="64">
        <f t="shared" ref="A9:A27" si="0">A8+1</f>
        <v>2</v>
      </c>
      <c r="B9" s="19" t="str">
        <f>VLOOKUP('Proxy Group Ticker'!$B4,vldatabase,2,FALSE)</f>
        <v>American Elec Pwr</v>
      </c>
      <c r="C9" s="19" t="str">
        <f>'Proxy Group Ticker'!B4</f>
        <v>AEP</v>
      </c>
      <c r="D9" s="12"/>
      <c r="E9" s="59" t="str">
        <f>VLOOKUP('Proxy Group Ticker'!$B4,vldatabase,26,FALSE)</f>
        <v>BBB+</v>
      </c>
      <c r="F9" s="19">
        <f>VLOOKUP(E9,'Ordinal Ratings'!A$6:C$28,2,FALSE)</f>
        <v>8</v>
      </c>
      <c r="G9" s="12"/>
      <c r="H9" s="59" t="str">
        <f>VLOOKUP('Proxy Group Ticker'!$B4,vldatabase,27,FALSE)</f>
        <v>Baa2</v>
      </c>
      <c r="I9" s="19">
        <f>VLOOKUP(H9,'Ordinal Ratings'!I$6:K$25,2,FALSE)</f>
        <v>9</v>
      </c>
      <c r="J9" s="12"/>
      <c r="K9" s="12">
        <f>VLOOKUP('Proxy Group Ticker'!$B4,vldatabase,22,FALSE)</f>
        <v>1</v>
      </c>
      <c r="L9" s="140"/>
      <c r="M9" s="59" t="str">
        <f>VLOOKUP('Proxy Group Ticker'!$B4,vldatabase,24,FALSE)</f>
        <v>A</v>
      </c>
      <c r="N9" s="19">
        <f>VLOOKUP(M9,'Ordinal Ratings'!E$6:G$16,2,FALSE)</f>
        <v>3</v>
      </c>
      <c r="O9" s="141"/>
      <c r="P9" s="142">
        <f>VLOOKUP('Proxy Group Ticker'!$B4,vldatabase,23,FALSE)</f>
        <v>0.7</v>
      </c>
      <c r="Q9" s="142"/>
      <c r="R9" s="143">
        <f>VLOOKUP('Proxy Group Ticker'!$B4,vldatabase,28,FALSE)</f>
        <v>52700</v>
      </c>
      <c r="S9" s="19"/>
      <c r="T9" s="1278">
        <v>0.18</v>
      </c>
    </row>
    <row r="10" spans="1:21">
      <c r="A10" s="64">
        <f t="shared" si="0"/>
        <v>3</v>
      </c>
      <c r="B10" s="19" t="str">
        <f>VLOOKUP('Proxy Group Ticker'!$B5,vldatabase,2,FALSE)</f>
        <v>Avista Corp.</v>
      </c>
      <c r="C10" s="19" t="str">
        <f>'Proxy Group Ticker'!B5</f>
        <v>AVA</v>
      </c>
      <c r="D10" s="12"/>
      <c r="E10" s="59" t="str">
        <f>VLOOKUP('Proxy Group Ticker'!$B5,vldatabase,26,FALSE)</f>
        <v>BBB</v>
      </c>
      <c r="F10" s="19">
        <f>VLOOKUP(E10,'Ordinal Ratings'!A$6:C$28,2,FALSE)</f>
        <v>9</v>
      </c>
      <c r="G10" s="12"/>
      <c r="H10" s="59" t="str">
        <f>VLOOKUP('Proxy Group Ticker'!$B5,vldatabase,27,FALSE)</f>
        <v>Baa2</v>
      </c>
      <c r="I10" s="19">
        <f>VLOOKUP(H10,'Ordinal Ratings'!I$6:K$25,2,FALSE)</f>
        <v>9</v>
      </c>
      <c r="J10" s="12"/>
      <c r="K10" s="12">
        <f>VLOOKUP('Proxy Group Ticker'!$B5,vldatabase,22,FALSE)</f>
        <v>3</v>
      </c>
      <c r="L10" s="140"/>
      <c r="M10" s="59" t="str">
        <f>VLOOKUP('Proxy Group Ticker'!$B5,vldatabase,24,FALSE)</f>
        <v>A</v>
      </c>
      <c r="N10" s="19">
        <f>VLOOKUP(M10,'Ordinal Ratings'!E$6:G$16,2,FALSE)</f>
        <v>3</v>
      </c>
      <c r="O10" s="141"/>
      <c r="P10" s="142">
        <f>VLOOKUP('Proxy Group Ticker'!$B5,vldatabase,23,FALSE)</f>
        <v>0.75</v>
      </c>
      <c r="Q10" s="142"/>
      <c r="R10" s="143">
        <f>VLOOKUP('Proxy Group Ticker'!$B5,vldatabase,28,FALSE)</f>
        <v>3100</v>
      </c>
      <c r="S10" s="19"/>
      <c r="T10" s="1278">
        <v>0.09</v>
      </c>
    </row>
    <row r="11" spans="1:21">
      <c r="A11" s="64">
        <f t="shared" si="0"/>
        <v>4</v>
      </c>
      <c r="B11" s="19" t="str">
        <f>VLOOKUP('Proxy Group Ticker'!$B6,vldatabase,2,FALSE)</f>
        <v>Black Hills Corp.</v>
      </c>
      <c r="C11" s="19" t="str">
        <f>'Proxy Group Ticker'!B6</f>
        <v>BKH</v>
      </c>
      <c r="D11" s="12"/>
      <c r="E11" s="59" t="str">
        <f>VLOOKUP('Proxy Group Ticker'!$B6,vldatabase,26,FALSE)</f>
        <v>BBB+</v>
      </c>
      <c r="F11" s="19">
        <f>VLOOKUP(E11,'Ordinal Ratings'!A$6:C$28,2,FALSE)</f>
        <v>8</v>
      </c>
      <c r="G11" s="12"/>
      <c r="H11" s="59" t="str">
        <f>VLOOKUP('Proxy Group Ticker'!$B6,vldatabase,27,FALSE)</f>
        <v>Baa2</v>
      </c>
      <c r="I11" s="19">
        <f>VLOOKUP(H11,'Ordinal Ratings'!I$6:K$25,2,FALSE)</f>
        <v>9</v>
      </c>
      <c r="J11" s="12"/>
      <c r="K11" s="12">
        <f>VLOOKUP('Proxy Group Ticker'!$B6,vldatabase,22,FALSE)</f>
        <v>2</v>
      </c>
      <c r="L11" s="140"/>
      <c r="M11" s="59" t="str">
        <f>VLOOKUP('Proxy Group Ticker'!$B6,vldatabase,24,FALSE)</f>
        <v>A</v>
      </c>
      <c r="N11" s="19">
        <f>VLOOKUP(M11,'Ordinal Ratings'!E$6:G$16,2,FALSE)</f>
        <v>3</v>
      </c>
      <c r="O11" s="141"/>
      <c r="P11" s="142">
        <f>VLOOKUP('Proxy Group Ticker'!$B6,vldatabase,23,FALSE)</f>
        <v>0.9</v>
      </c>
      <c r="Q11" s="142"/>
      <c r="R11" s="143">
        <f>VLOOKUP('Proxy Group Ticker'!$B6,vldatabase,28,FALSE)</f>
        <v>4100</v>
      </c>
      <c r="S11" s="19"/>
      <c r="T11" s="1278">
        <v>0.23</v>
      </c>
    </row>
    <row r="12" spans="1:21">
      <c r="A12" s="64">
        <f t="shared" si="0"/>
        <v>5</v>
      </c>
      <c r="B12" s="19" t="str">
        <f>VLOOKUP('Proxy Group Ticker'!$B7,vldatabase,2,FALSE)</f>
        <v>CenterPoint Energy</v>
      </c>
      <c r="C12" s="19" t="str">
        <f>'Proxy Group Ticker'!B7</f>
        <v>CNP</v>
      </c>
      <c r="D12" s="12"/>
      <c r="E12" s="59" t="str">
        <f>VLOOKUP('Proxy Group Ticker'!$B7,vldatabase,26,FALSE)</f>
        <v>BBB+</v>
      </c>
      <c r="F12" s="19">
        <f>VLOOKUP(E12,'Ordinal Ratings'!A$6:C$28,2,FALSE)</f>
        <v>8</v>
      </c>
      <c r="G12" s="12"/>
      <c r="H12" s="59" t="str">
        <f>VLOOKUP('Proxy Group Ticker'!$B7,vldatabase,27,FALSE)</f>
        <v>Baa2</v>
      </c>
      <c r="I12" s="19">
        <f>VLOOKUP(H12,'Ordinal Ratings'!I$6:K$25,2,FALSE)</f>
        <v>9</v>
      </c>
      <c r="J12" s="12"/>
      <c r="K12" s="12">
        <f>VLOOKUP('Proxy Group Ticker'!$B7,vldatabase,22,FALSE)</f>
        <v>3</v>
      </c>
      <c r="L12" s="140"/>
      <c r="M12" s="59" t="str">
        <f>VLOOKUP('Proxy Group Ticker'!$B7,vldatabase,24,FALSE)</f>
        <v>A</v>
      </c>
      <c r="N12" s="19">
        <f>VLOOKUP(M12,'Ordinal Ratings'!E$6:G$16,2,FALSE)</f>
        <v>3</v>
      </c>
      <c r="O12" s="141"/>
      <c r="P12" s="142">
        <f>VLOOKUP('Proxy Group Ticker'!$B7,vldatabase,23,FALSE)</f>
        <v>0.85</v>
      </c>
      <c r="Q12" s="142"/>
      <c r="R12" s="143">
        <f>VLOOKUP('Proxy Group Ticker'!$B7,vldatabase,28,FALSE)</f>
        <v>21200</v>
      </c>
      <c r="S12" s="19"/>
      <c r="T12" s="1278">
        <f>514/3195.8</f>
        <v>0.16083609737780835</v>
      </c>
      <c r="U12" s="1" t="s">
        <v>1900</v>
      </c>
    </row>
    <row r="13" spans="1:21">
      <c r="A13" s="64">
        <f t="shared" si="0"/>
        <v>6</v>
      </c>
      <c r="B13" s="19" t="str">
        <f>VLOOKUP('Proxy Group Ticker'!$B8,vldatabase,2,FALSE)</f>
        <v>CMS Energy Corp.</v>
      </c>
      <c r="C13" s="19" t="str">
        <f>'Proxy Group Ticker'!B8</f>
        <v>CMS</v>
      </c>
      <c r="D13" s="12"/>
      <c r="E13" s="59" t="str">
        <f>VLOOKUP('Proxy Group Ticker'!$B8,vldatabase,26,FALSE)</f>
        <v>BBB+</v>
      </c>
      <c r="F13" s="19">
        <f>VLOOKUP(E13,'Ordinal Ratings'!A$6:C$28,2,FALSE)</f>
        <v>8</v>
      </c>
      <c r="G13" s="12"/>
      <c r="H13" s="59" t="str">
        <f>VLOOKUP('Proxy Group Ticker'!$B8,vldatabase,27,FALSE)</f>
        <v>Baa2</v>
      </c>
      <c r="I13" s="19">
        <f>VLOOKUP(H13,'Ordinal Ratings'!I$6:K$25,2,FALSE)</f>
        <v>9</v>
      </c>
      <c r="J13" s="12"/>
      <c r="K13" s="12">
        <f>VLOOKUP('Proxy Group Ticker'!$B8,vldatabase,22,FALSE)</f>
        <v>2</v>
      </c>
      <c r="L13" s="140"/>
      <c r="M13" s="59" t="str">
        <f>VLOOKUP('Proxy Group Ticker'!$B8,vldatabase,24,FALSE)</f>
        <v>B++</v>
      </c>
      <c r="N13" s="19">
        <f>VLOOKUP(M13,'Ordinal Ratings'!E$6:G$16,2,FALSE)</f>
        <v>4</v>
      </c>
      <c r="O13" s="141"/>
      <c r="P13" s="142">
        <f>VLOOKUP('Proxy Group Ticker'!$B8,vldatabase,23,FALSE)</f>
        <v>0.7</v>
      </c>
      <c r="Q13" s="142"/>
      <c r="R13" s="143">
        <f>VLOOKUP('Proxy Group Ticker'!$B8,vldatabase,28,FALSE)</f>
        <v>20800</v>
      </c>
      <c r="S13" s="19"/>
      <c r="T13" s="1278">
        <v>0.13</v>
      </c>
    </row>
    <row r="14" spans="1:21">
      <c r="A14" s="64">
        <f t="shared" si="0"/>
        <v>7</v>
      </c>
      <c r="B14" s="19" t="str">
        <f>VLOOKUP('Proxy Group Ticker'!$B9,vldatabase,2,FALSE)</f>
        <v>Dominion Energy</v>
      </c>
      <c r="C14" s="19" t="str">
        <f>'Proxy Group Ticker'!B9</f>
        <v>D</v>
      </c>
      <c r="D14" s="12"/>
      <c r="E14" s="59" t="str">
        <f>VLOOKUP('Proxy Group Ticker'!$B9,vldatabase,26,FALSE)</f>
        <v>BBB+</v>
      </c>
      <c r="F14" s="19">
        <f>VLOOKUP(E14,'Ordinal Ratings'!A$6:C$28,2,FALSE)</f>
        <v>8</v>
      </c>
      <c r="G14" s="12"/>
      <c r="H14" s="59" t="str">
        <f>VLOOKUP('Proxy Group Ticker'!$B9,vldatabase,27,FALSE)</f>
        <v>Baa2</v>
      </c>
      <c r="I14" s="19">
        <f>VLOOKUP(H14,'Ordinal Ratings'!I$6:K$25,2,FALSE)</f>
        <v>9</v>
      </c>
      <c r="J14" s="12"/>
      <c r="K14" s="12">
        <f>VLOOKUP('Proxy Group Ticker'!$B9,vldatabase,22,FALSE)</f>
        <v>2</v>
      </c>
      <c r="L14" s="140"/>
      <c r="M14" s="59" t="str">
        <f>VLOOKUP('Proxy Group Ticker'!$B9,vldatabase,24,FALSE)</f>
        <v>A</v>
      </c>
      <c r="N14" s="19">
        <f>VLOOKUP(M14,'Ordinal Ratings'!E$6:G$16,2,FALSE)</f>
        <v>3</v>
      </c>
      <c r="O14" s="141"/>
      <c r="P14" s="142">
        <f>VLOOKUP('Proxy Group Ticker'!$B9,vldatabase,23,FALSE)</f>
        <v>0.75</v>
      </c>
      <c r="Q14" s="142"/>
      <c r="R14" s="143">
        <f>VLOOKUP('Proxy Group Ticker'!$B9,vldatabase,28,FALSE)</f>
        <v>50400</v>
      </c>
      <c r="S14" s="19"/>
      <c r="T14" s="1278">
        <v>7.0000000000000007E-2</v>
      </c>
    </row>
    <row r="15" spans="1:21">
      <c r="A15" s="64">
        <f t="shared" si="0"/>
        <v>8</v>
      </c>
      <c r="B15" s="19" t="str">
        <f>VLOOKUP('Proxy Group Ticker'!$B10,vldatabase,2,FALSE)</f>
        <v>DTE Energy Co.</v>
      </c>
      <c r="C15" s="19" t="str">
        <f>'Proxy Group Ticker'!B10</f>
        <v>DTE</v>
      </c>
      <c r="D15" s="12"/>
      <c r="E15" s="59" t="str">
        <f>VLOOKUP('Proxy Group Ticker'!$B10,vldatabase,26,FALSE)</f>
        <v>BBB+</v>
      </c>
      <c r="F15" s="19">
        <f>VLOOKUP(E15,'Ordinal Ratings'!A$6:C$28,2,FALSE)</f>
        <v>8</v>
      </c>
      <c r="G15" s="12"/>
      <c r="H15" s="59" t="str">
        <f>VLOOKUP('Proxy Group Ticker'!$B10,vldatabase,27,FALSE)</f>
        <v>Baa2</v>
      </c>
      <c r="I15" s="19">
        <f>VLOOKUP(H15,'Ordinal Ratings'!I$6:K$25,2,FALSE)</f>
        <v>9</v>
      </c>
      <c r="J15" s="12"/>
      <c r="K15" s="12">
        <f>VLOOKUP('Proxy Group Ticker'!$B10,vldatabase,22,FALSE)</f>
        <v>2</v>
      </c>
      <c r="L15" s="140"/>
      <c r="M15" s="59" t="str">
        <f>VLOOKUP('Proxy Group Ticker'!$B10,vldatabase,24,FALSE)</f>
        <v>B++</v>
      </c>
      <c r="N15" s="19">
        <f>VLOOKUP(M15,'Ordinal Ratings'!E$6:G$16,2,FALSE)</f>
        <v>4</v>
      </c>
      <c r="O15" s="141"/>
      <c r="P15" s="142">
        <f>VLOOKUP('Proxy Group Ticker'!$B10,vldatabase,23,FALSE)</f>
        <v>0.85</v>
      </c>
      <c r="Q15" s="142"/>
      <c r="R15" s="143">
        <f>VLOOKUP('Proxy Group Ticker'!$B10,vldatabase,28,FALSE)</f>
        <v>25800</v>
      </c>
      <c r="S15" s="19"/>
      <c r="T15" s="1278">
        <v>0.11</v>
      </c>
    </row>
    <row r="16" spans="1:21">
      <c r="A16" s="64">
        <f t="shared" si="0"/>
        <v>9</v>
      </c>
      <c r="B16" s="19" t="str">
        <f>VLOOKUP('Proxy Group Ticker'!$B11,vldatabase,2,FALSE)</f>
        <v>Duke Energy Corp.</v>
      </c>
      <c r="C16" s="19" t="str">
        <f>'Proxy Group Ticker'!B11</f>
        <v>DUK</v>
      </c>
      <c r="D16" s="12"/>
      <c r="E16" s="59" t="str">
        <f>VLOOKUP('Proxy Group Ticker'!$B11,vldatabase,26,FALSE)</f>
        <v>BBB+</v>
      </c>
      <c r="F16" s="19">
        <f>VLOOKUP(E16,'Ordinal Ratings'!A$6:C$28,2,FALSE)</f>
        <v>8</v>
      </c>
      <c r="G16" s="12"/>
      <c r="H16" s="59" t="str">
        <f>VLOOKUP('Proxy Group Ticker'!$B11,vldatabase,27,FALSE)</f>
        <v>Baa2</v>
      </c>
      <c r="I16" s="19">
        <f>VLOOKUP(H16,'Ordinal Ratings'!I$6:K$25,2,FALSE)</f>
        <v>9</v>
      </c>
      <c r="J16" s="12"/>
      <c r="K16" s="12">
        <f>VLOOKUP('Proxy Group Ticker'!$B11,vldatabase,22,FALSE)</f>
        <v>2</v>
      </c>
      <c r="L16" s="140"/>
      <c r="M16" s="59" t="str">
        <f>VLOOKUP('Proxy Group Ticker'!$B11,vldatabase,24,FALSE)</f>
        <v>A</v>
      </c>
      <c r="N16" s="19">
        <f>VLOOKUP(M16,'Ordinal Ratings'!E$6:G$16,2,FALSE)</f>
        <v>3</v>
      </c>
      <c r="O16" s="141"/>
      <c r="P16" s="142">
        <f>VLOOKUP('Proxy Group Ticker'!$B11,vldatabase,23,FALSE)</f>
        <v>0.65</v>
      </c>
      <c r="Q16" s="142"/>
      <c r="R16" s="143">
        <f>VLOOKUP('Proxy Group Ticker'!$B11,vldatabase,28,FALSE)</f>
        <v>90400</v>
      </c>
      <c r="S16" s="19"/>
      <c r="T16" s="1278">
        <v>0.18</v>
      </c>
    </row>
    <row r="17" spans="1:21">
      <c r="A17" s="64">
        <f t="shared" si="0"/>
        <v>10</v>
      </c>
      <c r="B17" s="19" t="str">
        <f>VLOOKUP('Proxy Group Ticker'!$B12,vldatabase,2,FALSE)</f>
        <v>Edison International</v>
      </c>
      <c r="C17" s="19" t="str">
        <f>'Proxy Group Ticker'!B12</f>
        <v>EIX</v>
      </c>
      <c r="D17" s="12"/>
      <c r="E17" s="59" t="str">
        <f>VLOOKUP('Proxy Group Ticker'!$B12,vldatabase,26,FALSE)</f>
        <v>BBB</v>
      </c>
      <c r="F17" s="19">
        <f>VLOOKUP(E17,'Ordinal Ratings'!A$6:C$28,2,FALSE)</f>
        <v>9</v>
      </c>
      <c r="G17" s="12"/>
      <c r="H17" s="59" t="str">
        <f>VLOOKUP('Proxy Group Ticker'!$B12,vldatabase,27,FALSE)</f>
        <v>Baa2</v>
      </c>
      <c r="I17" s="19">
        <f>VLOOKUP(H17,'Ordinal Ratings'!I$6:K$25,2,FALSE)</f>
        <v>9</v>
      </c>
      <c r="J17" s="12"/>
      <c r="K17" s="12">
        <f>VLOOKUP('Proxy Group Ticker'!$B12,vldatabase,22,FALSE)</f>
        <v>3</v>
      </c>
      <c r="L17" s="140"/>
      <c r="M17" s="59" t="str">
        <f>VLOOKUP('Proxy Group Ticker'!$B12,vldatabase,24,FALSE)</f>
        <v>B+</v>
      </c>
      <c r="N17" s="19">
        <f>VLOOKUP(M17,'Ordinal Ratings'!E$6:G$16,2,FALSE)</f>
        <v>5</v>
      </c>
      <c r="O17" s="141"/>
      <c r="P17" s="142">
        <f>VLOOKUP('Proxy Group Ticker'!$B12,vldatabase,23,FALSE)</f>
        <v>0.9</v>
      </c>
      <c r="Q17" s="142"/>
      <c r="R17" s="143">
        <f>VLOOKUP('Proxy Group Ticker'!$B12,vldatabase,28,FALSE)</f>
        <v>20600</v>
      </c>
      <c r="S17" s="19"/>
      <c r="T17" s="1278">
        <v>0.03</v>
      </c>
    </row>
    <row r="18" spans="1:21">
      <c r="A18" s="64">
        <f t="shared" si="0"/>
        <v>11</v>
      </c>
      <c r="B18" s="19" t="str">
        <f>VLOOKUP('Proxy Group Ticker'!$B13,vldatabase,2,FALSE)</f>
        <v>Entergy Corp.</v>
      </c>
      <c r="C18" s="19" t="str">
        <f>'Proxy Group Ticker'!B13</f>
        <v>ETR</v>
      </c>
      <c r="D18" s="12"/>
      <c r="E18" s="59" t="str">
        <f>VLOOKUP('Proxy Group Ticker'!$B13,vldatabase,26,FALSE)</f>
        <v>BBB+</v>
      </c>
      <c r="F18" s="19">
        <f>VLOOKUP(E18,'Ordinal Ratings'!A$6:C$28,2,FALSE)</f>
        <v>8</v>
      </c>
      <c r="G18" s="12"/>
      <c r="H18" s="59" t="str">
        <f>VLOOKUP('Proxy Group Ticker'!$B13,vldatabase,27,FALSE)</f>
        <v>Baa2</v>
      </c>
      <c r="I18" s="19">
        <f>VLOOKUP(H18,'Ordinal Ratings'!I$6:K$25,2,FALSE)</f>
        <v>9</v>
      </c>
      <c r="J18" s="12"/>
      <c r="K18" s="12">
        <f>VLOOKUP('Proxy Group Ticker'!$B13,vldatabase,22,FALSE)</f>
        <v>1</v>
      </c>
      <c r="L18" s="140"/>
      <c r="M18" s="59" t="str">
        <f>VLOOKUP('Proxy Group Ticker'!$B13,vldatabase,24,FALSE)</f>
        <v>A+</v>
      </c>
      <c r="N18" s="19">
        <f>VLOOKUP(M18,'Ordinal Ratings'!E$6:G$16,2,FALSE)</f>
        <v>2</v>
      </c>
      <c r="O18" s="141"/>
      <c r="P18" s="142">
        <f>VLOOKUP('Proxy Group Ticker'!$B13,vldatabase,23,FALSE)</f>
        <v>0.8</v>
      </c>
      <c r="Q18" s="142"/>
      <c r="R18" s="143">
        <f>VLOOKUP('Proxy Group Ticker'!$B13,vldatabase,28,FALSE)</f>
        <v>32700</v>
      </c>
      <c r="S18" s="19"/>
      <c r="T18" s="1278">
        <v>0.27</v>
      </c>
    </row>
    <row r="19" spans="1:21">
      <c r="A19" s="64">
        <f t="shared" si="0"/>
        <v>12</v>
      </c>
      <c r="B19" s="19" t="str">
        <f>VLOOKUP('Proxy Group Ticker'!$B14,vldatabase,2,FALSE)</f>
        <v>Evergy Inc.</v>
      </c>
      <c r="C19" s="19" t="str">
        <f>'Proxy Group Ticker'!B14</f>
        <v>EVRG</v>
      </c>
      <c r="D19" s="12"/>
      <c r="E19" s="59" t="str">
        <f>VLOOKUP('Proxy Group Ticker'!$B14,vldatabase,26,FALSE)</f>
        <v>BBB+</v>
      </c>
      <c r="F19" s="19">
        <f>VLOOKUP(E19,'Ordinal Ratings'!A$6:C$28,2,FALSE)</f>
        <v>8</v>
      </c>
      <c r="G19" s="12"/>
      <c r="H19" s="59" t="str">
        <f>VLOOKUP('Proxy Group Ticker'!$B14,vldatabase,27,FALSE)</f>
        <v>Baa2</v>
      </c>
      <c r="I19" s="19">
        <f>VLOOKUP(H19,'Ordinal Ratings'!I$6:K$25,2,FALSE)</f>
        <v>9</v>
      </c>
      <c r="J19" s="12"/>
      <c r="K19" s="12">
        <f>VLOOKUP('Proxy Group Ticker'!$B14,vldatabase,22,FALSE)</f>
        <v>2</v>
      </c>
      <c r="L19" s="140"/>
      <c r="M19" s="59" t="str">
        <f>VLOOKUP('Proxy Group Ticker'!$B14,vldatabase,24,FALSE)</f>
        <v>B++</v>
      </c>
      <c r="N19" s="19">
        <f>VLOOKUP(M19,'Ordinal Ratings'!E$6:G$16,2,FALSE)</f>
        <v>4</v>
      </c>
      <c r="O19" s="141"/>
      <c r="P19" s="142">
        <f>VLOOKUP('Proxy Group Ticker'!$B14,vldatabase,23,FALSE)</f>
        <v>0.75</v>
      </c>
      <c r="Q19" s="142"/>
      <c r="R19" s="143">
        <f>VLOOKUP('Proxy Group Ticker'!$B14,vldatabase,28,FALSE)</f>
        <v>13600</v>
      </c>
      <c r="S19" s="19"/>
      <c r="T19" s="1278">
        <v>0.15</v>
      </c>
    </row>
    <row r="20" spans="1:21">
      <c r="A20" s="64">
        <f t="shared" si="0"/>
        <v>13</v>
      </c>
      <c r="B20" s="19" t="str">
        <f>VLOOKUP('Proxy Group Ticker'!$B15,vldatabase,2,FALSE)</f>
        <v>Eversource Energy</v>
      </c>
      <c r="C20" s="19" t="str">
        <f>'Proxy Group Ticker'!B15</f>
        <v>ES</v>
      </c>
      <c r="D20" s="12"/>
      <c r="E20" s="59" t="str">
        <f>VLOOKUP('Proxy Group Ticker'!$B15,vldatabase,26,FALSE)</f>
        <v>BBB+</v>
      </c>
      <c r="F20" s="19">
        <f>VLOOKUP(E20,'Ordinal Ratings'!A$6:C$28,2,FALSE)</f>
        <v>8</v>
      </c>
      <c r="G20" s="12"/>
      <c r="H20" s="59" t="str">
        <f>VLOOKUP('Proxy Group Ticker'!$B15,vldatabase,27,FALSE)</f>
        <v>Baa2</v>
      </c>
      <c r="I20" s="19">
        <f>VLOOKUP(H20,'Ordinal Ratings'!I$6:K$25,2,FALSE)</f>
        <v>9</v>
      </c>
      <c r="J20" s="12"/>
      <c r="K20" s="12">
        <f>VLOOKUP('Proxy Group Ticker'!$B15,vldatabase,22,FALSE)</f>
        <v>2</v>
      </c>
      <c r="L20" s="140"/>
      <c r="M20" s="59" t="str">
        <f>VLOOKUP('Proxy Group Ticker'!$B15,vldatabase,24,FALSE)</f>
        <v>A</v>
      </c>
      <c r="N20" s="19">
        <f>VLOOKUP(M20,'Ordinal Ratings'!E$6:G$16,2,FALSE)</f>
        <v>3</v>
      </c>
      <c r="O20" s="141"/>
      <c r="P20" s="142">
        <f>VLOOKUP('Proxy Group Ticker'!$B15,vldatabase,23,FALSE)</f>
        <v>0.85</v>
      </c>
      <c r="Q20" s="142"/>
      <c r="R20" s="143">
        <f>VLOOKUP('Proxy Group Ticker'!$B15,vldatabase,28,FALSE)</f>
        <v>23800</v>
      </c>
      <c r="S20" s="19"/>
      <c r="T20" s="1278">
        <f>389/9018.2</f>
        <v>4.3134993679448223E-2</v>
      </c>
      <c r="U20" s="1" t="s">
        <v>1898</v>
      </c>
    </row>
    <row r="21" spans="1:21">
      <c r="A21" s="64">
        <f t="shared" si="0"/>
        <v>14</v>
      </c>
      <c r="B21" s="19" t="str">
        <f>VLOOKUP('Proxy Group Ticker'!$B16,vldatabase,2,FALSE)</f>
        <v>FirstEnergy Corp.</v>
      </c>
      <c r="C21" s="19" t="str">
        <f>'Proxy Group Ticker'!B16</f>
        <v>FE</v>
      </c>
      <c r="D21" s="12"/>
      <c r="E21" s="59" t="str">
        <f>VLOOKUP('Proxy Group Ticker'!$B16,vldatabase,26,FALSE)</f>
        <v>BBB</v>
      </c>
      <c r="F21" s="19">
        <f>VLOOKUP(E21,'Ordinal Ratings'!A$6:C$28,2,FALSE)</f>
        <v>9</v>
      </c>
      <c r="G21" s="12"/>
      <c r="H21" s="59" t="str">
        <f>VLOOKUP('Proxy Group Ticker'!$B16,vldatabase,27,FALSE)</f>
        <v>Baa3</v>
      </c>
      <c r="I21" s="19">
        <f>VLOOKUP(H21,'Ordinal Ratings'!I$6:K$25,2,FALSE)</f>
        <v>10</v>
      </c>
      <c r="J21" s="12"/>
      <c r="K21" s="12">
        <f>VLOOKUP('Proxy Group Ticker'!$B16,vldatabase,22,FALSE)</f>
        <v>3</v>
      </c>
      <c r="L21" s="140"/>
      <c r="M21" s="59" t="str">
        <f>VLOOKUP('Proxy Group Ticker'!$B16,vldatabase,24,FALSE)</f>
        <v>B++</v>
      </c>
      <c r="N21" s="19">
        <f>VLOOKUP(M21,'Ordinal Ratings'!E$6:G$16,2,FALSE)</f>
        <v>4</v>
      </c>
      <c r="O21" s="141"/>
      <c r="P21" s="142">
        <f>VLOOKUP('Proxy Group Ticker'!$B16,vldatabase,23,FALSE)</f>
        <v>0.75</v>
      </c>
      <c r="Q21" s="142"/>
      <c r="R21" s="143">
        <f>VLOOKUP('Proxy Group Ticker'!$B16,vldatabase,28,FALSE)</f>
        <v>25200</v>
      </c>
      <c r="S21" s="19"/>
      <c r="T21" s="1278">
        <f>(588+577)/(6863+4876+1787)</f>
        <v>8.6130415496081622E-2</v>
      </c>
      <c r="U21" s="1" t="s">
        <v>1898</v>
      </c>
    </row>
    <row r="22" spans="1:21">
      <c r="A22" s="64">
        <f t="shared" si="0"/>
        <v>15</v>
      </c>
      <c r="B22" s="19" t="str">
        <f>VLOOKUP('Proxy Group Ticker'!$B17,vldatabase,2,FALSE)</f>
        <v>IDACORP, Inc.</v>
      </c>
      <c r="C22" s="19" t="str">
        <f>'Proxy Group Ticker'!B17</f>
        <v>IDA</v>
      </c>
      <c r="D22" s="12"/>
      <c r="E22" s="59" t="str">
        <f>VLOOKUP('Proxy Group Ticker'!$B17,vldatabase,26,FALSE)</f>
        <v>BBB</v>
      </c>
      <c r="F22" s="19">
        <f>VLOOKUP(E22,'Ordinal Ratings'!A$6:C$28,2,FALSE)</f>
        <v>9</v>
      </c>
      <c r="G22" s="12"/>
      <c r="H22" s="59" t="str">
        <f>VLOOKUP('Proxy Group Ticker'!$B17,vldatabase,27,FALSE)</f>
        <v>Baa2</v>
      </c>
      <c r="I22" s="19">
        <f>VLOOKUP(H22,'Ordinal Ratings'!I$6:K$25,2,FALSE)</f>
        <v>9</v>
      </c>
      <c r="J22" s="12"/>
      <c r="K22" s="12">
        <f>VLOOKUP('Proxy Group Ticker'!$B17,vldatabase,22,FALSE)</f>
        <v>1</v>
      </c>
      <c r="L22" s="140"/>
      <c r="M22" s="59" t="str">
        <f>VLOOKUP('Proxy Group Ticker'!$B17,vldatabase,24,FALSE)</f>
        <v>A</v>
      </c>
      <c r="N22" s="19">
        <f>VLOOKUP(M22,'Ordinal Ratings'!E$6:G$16,2,FALSE)</f>
        <v>3</v>
      </c>
      <c r="O22" s="141"/>
      <c r="P22" s="142">
        <f>VLOOKUP('Proxy Group Ticker'!$B17,vldatabase,23,FALSE)</f>
        <v>0.7</v>
      </c>
      <c r="Q22" s="142"/>
      <c r="R22" s="143">
        <f>VLOOKUP('Proxy Group Ticker'!$B17,vldatabase,28,FALSE)</f>
        <v>6100</v>
      </c>
      <c r="S22" s="19"/>
      <c r="T22" s="1278">
        <v>0.15</v>
      </c>
    </row>
    <row r="23" spans="1:21">
      <c r="A23" s="64">
        <f t="shared" si="0"/>
        <v>16</v>
      </c>
      <c r="B23" s="19" t="str">
        <f>VLOOKUP('Proxy Group Ticker'!$B18,vldatabase,2,FALSE)</f>
        <v>NorthWestern Energy Grp.</v>
      </c>
      <c r="C23" s="19" t="str">
        <f>'Proxy Group Ticker'!B18</f>
        <v>NWE</v>
      </c>
      <c r="D23" s="12"/>
      <c r="E23" s="59" t="str">
        <f>VLOOKUP('Proxy Group Ticker'!$B18,vldatabase,26,FALSE)</f>
        <v>BBB</v>
      </c>
      <c r="F23" s="19">
        <f>VLOOKUP(E23,'Ordinal Ratings'!A$6:C$28,2,FALSE)</f>
        <v>9</v>
      </c>
      <c r="G23" s="12"/>
      <c r="H23" s="59" t="str">
        <f>VLOOKUP('Proxy Group Ticker'!$B18,vldatabase,27,FALSE)</f>
        <v>NR</v>
      </c>
      <c r="I23" s="19" t="str">
        <f>VLOOKUP(H23,'Ordinal Ratings'!I$6:K$25,2,FALSE)</f>
        <v>--</v>
      </c>
      <c r="J23" s="12"/>
      <c r="K23" s="12">
        <f>VLOOKUP('Proxy Group Ticker'!$B18,vldatabase,22,FALSE)</f>
        <v>2</v>
      </c>
      <c r="L23" s="140"/>
      <c r="M23" s="59" t="str">
        <f>VLOOKUP('Proxy Group Ticker'!$B18,vldatabase,24,FALSE)</f>
        <v>B++</v>
      </c>
      <c r="N23" s="19">
        <f>VLOOKUP(M23,'Ordinal Ratings'!E$6:G$16,2,FALSE)</f>
        <v>4</v>
      </c>
      <c r="O23" s="141"/>
      <c r="P23" s="142">
        <f>VLOOKUP('Proxy Group Ticker'!$B18,vldatabase,23,FALSE)</f>
        <v>0.8</v>
      </c>
      <c r="Q23" s="142"/>
      <c r="R23" s="143">
        <f>VLOOKUP('Proxy Group Ticker'!$B18,vldatabase,28,FALSE)</f>
        <v>3400</v>
      </c>
      <c r="S23" s="19"/>
      <c r="T23" s="1278">
        <v>0.04</v>
      </c>
    </row>
    <row r="24" spans="1:21">
      <c r="A24" s="64">
        <f t="shared" si="0"/>
        <v>17</v>
      </c>
      <c r="B24" s="19" t="str">
        <f>VLOOKUP('Proxy Group Ticker'!$B19,vldatabase,2,FALSE)</f>
        <v>Otter Tail Corp.</v>
      </c>
      <c r="C24" s="19" t="str">
        <f>'Proxy Group Ticker'!B19</f>
        <v>OTTR</v>
      </c>
      <c r="D24" s="12"/>
      <c r="E24" s="59" t="str">
        <f>VLOOKUP('Proxy Group Ticker'!$B19,vldatabase,26,FALSE)</f>
        <v>BBB</v>
      </c>
      <c r="F24" s="19">
        <f>VLOOKUP(E24,'Ordinal Ratings'!A$6:C$28,2,FALSE)</f>
        <v>9</v>
      </c>
      <c r="G24" s="12"/>
      <c r="H24" s="59" t="str">
        <f>VLOOKUP('Proxy Group Ticker'!$B19,vldatabase,27,FALSE)</f>
        <v>Baa2</v>
      </c>
      <c r="I24" s="19">
        <f>VLOOKUP(H24,'Ordinal Ratings'!I$6:K$25,2,FALSE)</f>
        <v>9</v>
      </c>
      <c r="J24" s="12"/>
      <c r="K24" s="12">
        <f>VLOOKUP('Proxy Group Ticker'!$B19,vldatabase,22,FALSE)</f>
        <v>2</v>
      </c>
      <c r="L24" s="140"/>
      <c r="M24" s="59" t="str">
        <f>VLOOKUP('Proxy Group Ticker'!$B19,vldatabase,24,FALSE)</f>
        <v>A</v>
      </c>
      <c r="N24" s="19">
        <f>VLOOKUP(M24,'Ordinal Ratings'!E$6:G$16,2,FALSE)</f>
        <v>3</v>
      </c>
      <c r="O24" s="141"/>
      <c r="P24" s="142">
        <f>VLOOKUP('Proxy Group Ticker'!$B19,vldatabase,23,FALSE)</f>
        <v>0.9</v>
      </c>
      <c r="Q24" s="142"/>
      <c r="R24" s="143">
        <f>VLOOKUP('Proxy Group Ticker'!$B19,vldatabase,28,FALSE)</f>
        <v>3800</v>
      </c>
      <c r="S24" s="19"/>
      <c r="T24" s="1278">
        <v>0.3</v>
      </c>
    </row>
    <row r="25" spans="1:21">
      <c r="A25" s="64">
        <f t="shared" si="0"/>
        <v>18</v>
      </c>
      <c r="B25" s="19" t="str">
        <f>VLOOKUP('Proxy Group Ticker'!$B20,vldatabase,2,FALSE)</f>
        <v>Pinnacle West Capital</v>
      </c>
      <c r="C25" s="19" t="str">
        <f>'Proxy Group Ticker'!B20</f>
        <v>PNW</v>
      </c>
      <c r="D25" s="12"/>
      <c r="E25" s="59" t="str">
        <f>VLOOKUP('Proxy Group Ticker'!$B20,vldatabase,26,FALSE)</f>
        <v>BBB+</v>
      </c>
      <c r="F25" s="19">
        <f>VLOOKUP(E25,'Ordinal Ratings'!A$6:C$28,2,FALSE)</f>
        <v>8</v>
      </c>
      <c r="G25" s="12"/>
      <c r="H25" s="59" t="str">
        <f>VLOOKUP('Proxy Group Ticker'!$B20,vldatabase,27,FALSE)</f>
        <v>Baa2</v>
      </c>
      <c r="I25" s="19">
        <f>VLOOKUP(H25,'Ordinal Ratings'!I$6:K$25,2,FALSE)</f>
        <v>9</v>
      </c>
      <c r="J25" s="12"/>
      <c r="K25" s="12">
        <f>VLOOKUP('Proxy Group Ticker'!$B20,vldatabase,22,FALSE)</f>
        <v>2</v>
      </c>
      <c r="L25" s="140"/>
      <c r="M25" s="59" t="str">
        <f>VLOOKUP('Proxy Group Ticker'!$B20,vldatabase,24,FALSE)</f>
        <v>B++</v>
      </c>
      <c r="N25" s="19">
        <f>VLOOKUP(M25,'Ordinal Ratings'!E$6:G$16,2,FALSE)</f>
        <v>4</v>
      </c>
      <c r="O25" s="141"/>
      <c r="P25" s="142">
        <f>VLOOKUP('Proxy Group Ticker'!$B20,vldatabase,23,FALSE)</f>
        <v>0.8</v>
      </c>
      <c r="Q25" s="142"/>
      <c r="R25" s="143">
        <f>VLOOKUP('Proxy Group Ticker'!$B20,vldatabase,28,FALSE)</f>
        <v>10600</v>
      </c>
      <c r="S25" s="19"/>
      <c r="T25" s="1278">
        <f>209.4/5014.6</f>
        <v>4.1758066445977744E-2</v>
      </c>
      <c r="U25" s="1" t="s">
        <v>1899</v>
      </c>
    </row>
    <row r="26" spans="1:21">
      <c r="A26" s="64">
        <f t="shared" si="0"/>
        <v>19</v>
      </c>
      <c r="B26" s="19" t="str">
        <f>VLOOKUP('Proxy Group Ticker'!$B21,vldatabase,2,FALSE)</f>
        <v>Pub Sv Enterprise Grp.</v>
      </c>
      <c r="C26" s="19" t="str">
        <f>'Proxy Group Ticker'!B21</f>
        <v>PEG</v>
      </c>
      <c r="D26" s="12"/>
      <c r="E26" s="59" t="str">
        <f>VLOOKUP('Proxy Group Ticker'!$B21,vldatabase,26,FALSE)</f>
        <v>BBB+</v>
      </c>
      <c r="F26" s="19">
        <f>VLOOKUP(E26,'Ordinal Ratings'!A$6:C$28,2,FALSE)</f>
        <v>8</v>
      </c>
      <c r="G26" s="12"/>
      <c r="H26" s="59" t="str">
        <f>VLOOKUP('Proxy Group Ticker'!$B21,vldatabase,27,FALSE)</f>
        <v>Baa2</v>
      </c>
      <c r="I26" s="19">
        <f>VLOOKUP(H26,'Ordinal Ratings'!I$6:K$25,2,FALSE)</f>
        <v>9</v>
      </c>
      <c r="J26" s="12"/>
      <c r="K26" s="12">
        <f>VLOOKUP('Proxy Group Ticker'!$B21,vldatabase,22,FALSE)</f>
        <v>1</v>
      </c>
      <c r="L26" s="140"/>
      <c r="M26" s="59" t="str">
        <f>VLOOKUP('Proxy Group Ticker'!$B21,vldatabase,24,FALSE)</f>
        <v>A</v>
      </c>
      <c r="N26" s="19">
        <f>VLOOKUP(M26,'Ordinal Ratings'!E$6:G$16,2,FALSE)</f>
        <v>3</v>
      </c>
      <c r="O26" s="141"/>
      <c r="P26" s="142">
        <f>VLOOKUP('Proxy Group Ticker'!$B21,vldatabase,23,FALSE)</f>
        <v>0.85</v>
      </c>
      <c r="Q26" s="142"/>
      <c r="R26" s="143">
        <f>VLOOKUP('Proxy Group Ticker'!$B21,vldatabase,28,FALSE)</f>
        <v>45000</v>
      </c>
      <c r="S26" s="19"/>
      <c r="T26" s="1278">
        <v>0.09</v>
      </c>
    </row>
    <row r="27" spans="1:21">
      <c r="A27" s="64">
        <f t="shared" si="0"/>
        <v>20</v>
      </c>
      <c r="B27" s="19" t="str">
        <f>VLOOKUP('Proxy Group Ticker'!$B22,vldatabase,2,FALSE)</f>
        <v>Sempra</v>
      </c>
      <c r="C27" s="19" t="str">
        <f>'Proxy Group Ticker'!B22</f>
        <v>SRE</v>
      </c>
      <c r="D27" s="12"/>
      <c r="E27" s="59" t="str">
        <f>VLOOKUP('Proxy Group Ticker'!$B22,vldatabase,26,FALSE)</f>
        <v>BBB+</v>
      </c>
      <c r="F27" s="19">
        <f>VLOOKUP(E27,'Ordinal Ratings'!A$6:C$28,2,FALSE)</f>
        <v>8</v>
      </c>
      <c r="G27" s="12"/>
      <c r="H27" s="59" t="str">
        <f>VLOOKUP('Proxy Group Ticker'!$B22,vldatabase,27,FALSE)</f>
        <v>Baa2</v>
      </c>
      <c r="I27" s="19">
        <f>VLOOKUP(H27,'Ordinal Ratings'!I$6:K$25,2,FALSE)</f>
        <v>9</v>
      </c>
      <c r="J27" s="12"/>
      <c r="K27" s="12">
        <f>VLOOKUP('Proxy Group Ticker'!$B22,vldatabase,22,FALSE)</f>
        <v>2</v>
      </c>
      <c r="L27" s="140"/>
      <c r="M27" s="59" t="str">
        <f>VLOOKUP('Proxy Group Ticker'!$B22,vldatabase,24,FALSE)</f>
        <v>B++</v>
      </c>
      <c r="N27" s="19">
        <f>VLOOKUP(M27,'Ordinal Ratings'!E$6:G$16,2,FALSE)</f>
        <v>4</v>
      </c>
      <c r="O27" s="141"/>
      <c r="P27" s="142">
        <f>VLOOKUP('Proxy Group Ticker'!$B22,vldatabase,23,FALSE)</f>
        <v>0.9</v>
      </c>
      <c r="Q27" s="142"/>
      <c r="R27" s="143">
        <f>VLOOKUP('Proxy Group Ticker'!$B22,vldatabase,28,FALSE)</f>
        <v>41600</v>
      </c>
      <c r="S27" s="19"/>
      <c r="T27" s="1278">
        <f>119.5/1741.4</f>
        <v>6.8622947054094399E-2</v>
      </c>
      <c r="U27" s="1" t="s">
        <v>1899</v>
      </c>
    </row>
    <row r="28" spans="1:21" ht="3" customHeight="1">
      <c r="A28" s="64"/>
      <c r="B28" s="19"/>
      <c r="C28" s="19"/>
      <c r="D28" s="12"/>
      <c r="E28" s="59"/>
      <c r="F28" s="19"/>
      <c r="G28" s="12"/>
      <c r="H28" s="59"/>
      <c r="I28" s="19"/>
      <c r="J28" s="12"/>
      <c r="K28" s="155"/>
      <c r="L28" s="140"/>
      <c r="M28" s="156"/>
      <c r="N28" s="19"/>
      <c r="O28" s="141"/>
      <c r="P28" s="142"/>
      <c r="Q28" s="142"/>
      <c r="R28" s="143"/>
      <c r="S28" s="143"/>
      <c r="T28" s="143"/>
    </row>
    <row r="29" spans="1:21">
      <c r="E29" s="144" t="str">
        <f>VLOOKUP(F29,'Ordinal Ratings'!$B$6:$C$26,2,FALSE)</f>
        <v>BBB+</v>
      </c>
      <c r="F29" s="145">
        <f>ROUND(AVERAGE(F8:F27),0)</f>
        <v>8</v>
      </c>
      <c r="G29" s="19"/>
      <c r="H29" s="144" t="str">
        <f>VLOOKUP(I29,'Ordinal Ratings'!$J$6:$K$24,2,FALSE)</f>
        <v>Baa2</v>
      </c>
      <c r="I29" s="145">
        <f>ROUND(AVERAGE(I8:I27),0)</f>
        <v>9</v>
      </c>
      <c r="J29" s="19"/>
      <c r="K29" s="175">
        <f>ROUND(AVERAGE(K8:K27),0)</f>
        <v>2</v>
      </c>
      <c r="L29" s="20"/>
      <c r="M29" s="66" t="str">
        <f>VLOOKUP(N29,'Ordinal Ratings'!$F$6:$G$15,2,FALSE)</f>
        <v>A</v>
      </c>
      <c r="N29" s="145">
        <f>ROUND(AVERAGE(N8:N27),0)</f>
        <v>3</v>
      </c>
      <c r="O29" s="19"/>
      <c r="P29" s="146">
        <f>AVERAGE(P8:P27)</f>
        <v>0.7975000000000001</v>
      </c>
      <c r="Q29" s="20"/>
      <c r="R29" s="147">
        <f>AVERAGE(R8:R27)</f>
        <v>25560</v>
      </c>
      <c r="T29" s="1279">
        <f>AVERAGE(T8:T27)</f>
        <v>0.1350241260026705</v>
      </c>
    </row>
    <row r="30" spans="1:21" ht="14.25" customHeight="1">
      <c r="B30" s="19"/>
      <c r="Q30" s="1"/>
      <c r="R30" s="148"/>
    </row>
    <row r="31" spans="1:21" ht="14.25" customHeight="1">
      <c r="B31" s="19"/>
      <c r="Q31" s="1"/>
      <c r="R31" s="148"/>
      <c r="T31" s="1278">
        <f>167.5/703.7</f>
        <v>0.23802756856615034</v>
      </c>
      <c r="U31" s="1" t="s">
        <v>1901</v>
      </c>
    </row>
    <row r="32" spans="1:21" ht="14.25" customHeight="1">
      <c r="A32" s="6" t="s">
        <v>21</v>
      </c>
      <c r="B32" s="6" t="str">
        <f>'Electric Utility Data'!B49</f>
        <v>www.spglobal.com (retrieved May 20, 2025).</v>
      </c>
      <c r="Q32" s="1"/>
      <c r="R32" s="148"/>
    </row>
    <row r="33" spans="1:19" ht="14.25" customHeight="1">
      <c r="A33" s="6" t="s">
        <v>22</v>
      </c>
      <c r="B33" s="6" t="str">
        <f>'Electric Utility Data'!B50</f>
        <v>www.moodys.com (retrieved May 20, 2025).</v>
      </c>
      <c r="Q33" s="1"/>
      <c r="R33" s="1"/>
    </row>
    <row r="34" spans="1:19" ht="14.25" customHeight="1">
      <c r="A34" s="6" t="s">
        <v>23</v>
      </c>
      <c r="B34" s="6" t="str">
        <f>'Electric Utility Data'!B48</f>
        <v>The Value Line Investment Survey (Mar. 7, Apr. 18, and May 9, 2025).</v>
      </c>
      <c r="F34" s="1"/>
      <c r="G34" s="1"/>
      <c r="H34" s="1"/>
      <c r="I34" s="1"/>
      <c r="J34" s="1"/>
      <c r="K34" s="1"/>
      <c r="L34" s="1"/>
      <c r="M34" s="1"/>
      <c r="N34" s="1"/>
      <c r="O34" s="1"/>
      <c r="P34" s="1"/>
      <c r="Q34" s="1"/>
      <c r="R34" s="1"/>
    </row>
    <row r="35" spans="1:19" ht="14.25" customHeight="1">
      <c r="A35" s="6" t="s">
        <v>24</v>
      </c>
      <c r="B35" s="6" t="str">
        <f>'Electric Utility Data'!B47</f>
        <v>The Value Line Investment Survey, Summary &amp; Index (May 23, 2025).</v>
      </c>
      <c r="F35" s="1"/>
      <c r="G35" s="1"/>
      <c r="H35" s="1"/>
      <c r="I35" s="1"/>
      <c r="J35" s="1"/>
      <c r="K35" s="1"/>
      <c r="L35" s="1"/>
      <c r="M35" s="1"/>
      <c r="N35" s="1"/>
      <c r="O35" s="1"/>
      <c r="P35" s="1"/>
      <c r="Q35" s="1"/>
      <c r="R35" s="1"/>
    </row>
    <row r="38" spans="1:19" s="82" customFormat="1">
      <c r="A38" s="11" t="s">
        <v>491</v>
      </c>
      <c r="B38" s="149"/>
      <c r="C38" s="150"/>
      <c r="D38" s="150"/>
      <c r="F38" s="13"/>
      <c r="G38" s="13"/>
      <c r="H38" s="13"/>
      <c r="I38" s="13"/>
      <c r="J38" s="80"/>
      <c r="K38" s="80"/>
      <c r="L38" s="80"/>
      <c r="M38" s="80"/>
      <c r="N38" s="80"/>
      <c r="O38" s="80"/>
      <c r="P38" s="10"/>
      <c r="S38" s="10"/>
    </row>
    <row r="39" spans="1:19" s="82" customFormat="1">
      <c r="A39" s="13"/>
      <c r="B39" s="149"/>
      <c r="C39" s="151"/>
      <c r="D39" s="151"/>
      <c r="F39" s="13"/>
      <c r="G39" s="13"/>
      <c r="H39" s="13"/>
      <c r="I39" s="13"/>
      <c r="J39" s="80"/>
      <c r="K39" s="80"/>
      <c r="L39" s="80"/>
      <c r="M39" s="80"/>
      <c r="N39" s="80"/>
      <c r="O39" s="80"/>
      <c r="P39" s="10"/>
      <c r="S39" s="10"/>
    </row>
    <row r="40" spans="1:19" s="82" customFormat="1">
      <c r="A40" s="118" t="s">
        <v>495</v>
      </c>
      <c r="B40" s="121"/>
      <c r="C40" s="151"/>
      <c r="D40" s="151"/>
      <c r="F40" s="13"/>
      <c r="G40" s="13"/>
      <c r="H40" s="13"/>
      <c r="I40" s="13"/>
      <c r="J40" s="80"/>
      <c r="K40" s="80"/>
      <c r="L40" s="80"/>
      <c r="M40" s="80"/>
      <c r="N40" s="80"/>
      <c r="O40" s="80"/>
      <c r="P40" s="10"/>
      <c r="S40" s="10"/>
    </row>
    <row r="41" spans="1:19" s="82" customFormat="1">
      <c r="A41" s="13"/>
      <c r="B41" s="121"/>
      <c r="C41" s="121"/>
      <c r="E41" s="152" t="s">
        <v>21</v>
      </c>
      <c r="F41" s="10"/>
      <c r="H41" s="79" t="s">
        <v>22</v>
      </c>
      <c r="I41" s="79"/>
      <c r="K41" s="1465" t="s">
        <v>23</v>
      </c>
      <c r="L41" s="1465"/>
      <c r="M41" s="1465"/>
      <c r="N41" s="77"/>
      <c r="O41" s="77"/>
      <c r="P41" s="179" t="s">
        <v>24</v>
      </c>
      <c r="Q41" s="80"/>
      <c r="S41" s="10"/>
    </row>
    <row r="42" spans="1:19" s="82" customFormat="1">
      <c r="A42" s="573"/>
      <c r="E42" s="122" t="s">
        <v>64</v>
      </c>
      <c r="F42" s="122"/>
      <c r="H42" s="83" t="s">
        <v>63</v>
      </c>
      <c r="I42" s="83"/>
      <c r="K42" s="1464" t="s">
        <v>60</v>
      </c>
      <c r="L42" s="1464"/>
      <c r="M42" s="1464"/>
      <c r="N42" s="1464"/>
      <c r="O42" s="1464"/>
      <c r="P42" s="1464"/>
      <c r="Q42" s="80"/>
      <c r="S42" s="10"/>
    </row>
    <row r="43" spans="1:19" s="82" customFormat="1">
      <c r="A43" s="13"/>
      <c r="E43" s="122" t="s">
        <v>493</v>
      </c>
      <c r="F43" s="122"/>
      <c r="H43" s="83" t="s">
        <v>72</v>
      </c>
      <c r="I43" s="83"/>
      <c r="K43" s="83" t="s">
        <v>61</v>
      </c>
      <c r="L43" s="83"/>
      <c r="M43" s="83" t="s">
        <v>62</v>
      </c>
      <c r="N43" s="83"/>
      <c r="O43" s="83"/>
      <c r="P43" s="122"/>
      <c r="Q43" s="80"/>
      <c r="S43" s="10"/>
    </row>
    <row r="44" spans="1:19" s="82" customFormat="1">
      <c r="A44" s="11"/>
      <c r="B44" s="574" t="s">
        <v>78</v>
      </c>
      <c r="C44" s="139" t="s">
        <v>77</v>
      </c>
      <c r="E44" s="558" t="s">
        <v>80</v>
      </c>
      <c r="F44" s="558"/>
      <c r="H44" s="178" t="s">
        <v>79</v>
      </c>
      <c r="I44" s="178"/>
      <c r="K44" s="178" t="s">
        <v>65</v>
      </c>
      <c r="L44" s="83"/>
      <c r="M44" s="178" t="s">
        <v>66</v>
      </c>
      <c r="N44" s="178"/>
      <c r="O44" s="83"/>
      <c r="P44" s="178" t="s">
        <v>67</v>
      </c>
      <c r="Q44" s="80"/>
      <c r="S44" s="10"/>
    </row>
    <row r="45" spans="1:19" s="82" customFormat="1">
      <c r="A45" s="13">
        <f>A44+1</f>
        <v>1</v>
      </c>
      <c r="B45" s="162" t="s">
        <v>348</v>
      </c>
      <c r="C45" s="575" t="s">
        <v>350</v>
      </c>
      <c r="E45" s="576" t="s">
        <v>496</v>
      </c>
      <c r="F45" s="13">
        <f>VLOOKUP(E45,'Ordinal Ratings'!A$6:C$28,2,FALSE)</f>
        <v>4</v>
      </c>
      <c r="G45" s="12"/>
      <c r="H45" s="576" t="s">
        <v>497</v>
      </c>
      <c r="I45" s="13">
        <f>VLOOKUP(H45,'Ordinal Ratings'!I$6:K$25,2,FALSE)</f>
        <v>4</v>
      </c>
      <c r="J45" s="12"/>
      <c r="K45" s="12">
        <v>1</v>
      </c>
      <c r="L45" s="153"/>
      <c r="M45" s="576" t="s">
        <v>498</v>
      </c>
      <c r="N45" s="13">
        <f>VLOOKUP(M45,'Ordinal Ratings'!E$6:G$15,2,FALSE)</f>
        <v>2</v>
      </c>
      <c r="O45" s="84"/>
      <c r="P45" s="577">
        <v>0.7</v>
      </c>
      <c r="Q45" s="85"/>
      <c r="S45" s="10"/>
    </row>
    <row r="46" spans="1:19" s="82" customFormat="1">
      <c r="A46" s="13">
        <f t="shared" ref="A46:A89" si="1">A45+1</f>
        <v>2</v>
      </c>
      <c r="B46" s="578" t="s">
        <v>1367</v>
      </c>
      <c r="C46" s="575" t="s">
        <v>538</v>
      </c>
      <c r="E46" s="576" t="s">
        <v>508</v>
      </c>
      <c r="F46" s="13">
        <f>VLOOKUP(E46,'Ordinal Ratings'!A$6:C$28,2,FALSE)</f>
        <v>7</v>
      </c>
      <c r="G46" s="12"/>
      <c r="H46" s="576" t="s">
        <v>510</v>
      </c>
      <c r="I46" s="13">
        <f>VLOOKUP(H46,'Ordinal Ratings'!I$6:K$25,2,FALSE)</f>
        <v>7</v>
      </c>
      <c r="J46" s="12"/>
      <c r="K46" s="12">
        <v>1</v>
      </c>
      <c r="L46" s="153"/>
      <c r="M46" s="576" t="s">
        <v>498</v>
      </c>
      <c r="N46" s="13">
        <f>VLOOKUP(M46,'Ordinal Ratings'!E$6:G$15,2,FALSE)</f>
        <v>2</v>
      </c>
      <c r="O46" s="84"/>
      <c r="P46" s="577">
        <v>0.7</v>
      </c>
      <c r="Q46" s="85"/>
      <c r="S46" s="10"/>
    </row>
    <row r="47" spans="1:19" s="82" customFormat="1">
      <c r="A47" s="13">
        <f t="shared" si="1"/>
        <v>3</v>
      </c>
      <c r="B47" s="578" t="s">
        <v>352</v>
      </c>
      <c r="C47" s="575" t="s">
        <v>354</v>
      </c>
      <c r="E47" s="576" t="s">
        <v>502</v>
      </c>
      <c r="F47" s="13">
        <f>VLOOKUP(E47,'Ordinal Ratings'!A$6:C$28,2,FALSE)</f>
        <v>9</v>
      </c>
      <c r="G47" s="12"/>
      <c r="H47" s="576" t="s">
        <v>90</v>
      </c>
      <c r="I47" s="13">
        <f>VLOOKUP(H47,'Ordinal Ratings'!I$6:K$25,2,FALSE)</f>
        <v>8</v>
      </c>
      <c r="J47" s="12"/>
      <c r="K47" s="12">
        <v>1</v>
      </c>
      <c r="L47" s="153"/>
      <c r="M47" s="576" t="s">
        <v>499</v>
      </c>
      <c r="N47" s="13">
        <f>VLOOKUP(M47,'Ordinal Ratings'!E$6:G$15,2,FALSE)</f>
        <v>3</v>
      </c>
      <c r="O47" s="84"/>
      <c r="P47" s="577">
        <v>0.8</v>
      </c>
      <c r="Q47" s="85"/>
      <c r="S47" s="10"/>
    </row>
    <row r="48" spans="1:19" s="82" customFormat="1">
      <c r="A48" s="13">
        <f t="shared" si="1"/>
        <v>4</v>
      </c>
      <c r="B48" s="578" t="s">
        <v>355</v>
      </c>
      <c r="C48" s="575" t="s">
        <v>357</v>
      </c>
      <c r="E48" s="576" t="s">
        <v>91</v>
      </c>
      <c r="F48" s="13">
        <f>VLOOKUP(E48,'Ordinal Ratings'!A$6:C$28,2,FALSE)</f>
        <v>8</v>
      </c>
      <c r="G48" s="12"/>
      <c r="H48" s="576" t="s">
        <v>90</v>
      </c>
      <c r="I48" s="13">
        <f>VLOOKUP(H48,'Ordinal Ratings'!I$6:K$25,2,FALSE)</f>
        <v>8</v>
      </c>
      <c r="J48" s="12"/>
      <c r="K48" s="12">
        <v>1</v>
      </c>
      <c r="L48" s="153"/>
      <c r="M48" s="576" t="s">
        <v>499</v>
      </c>
      <c r="N48" s="13">
        <f>VLOOKUP(M48,'Ordinal Ratings'!E$6:G$15,2,FALSE)</f>
        <v>3</v>
      </c>
      <c r="O48" s="84"/>
      <c r="P48" s="577">
        <v>0.7</v>
      </c>
      <c r="Q48" s="85"/>
      <c r="S48" s="10"/>
    </row>
    <row r="49" spans="1:16" s="82" customFormat="1">
      <c r="A49" s="13">
        <f t="shared" si="1"/>
        <v>5</v>
      </c>
      <c r="B49" s="578" t="s">
        <v>1368</v>
      </c>
      <c r="C49" s="575" t="s">
        <v>1369</v>
      </c>
      <c r="E49" s="576" t="s">
        <v>506</v>
      </c>
      <c r="F49" s="13">
        <f>VLOOKUP(E49,'Ordinal Ratings'!A$6:C$28,2,FALSE)</f>
        <v>10</v>
      </c>
      <c r="G49" s="12"/>
      <c r="H49" s="576" t="s">
        <v>505</v>
      </c>
      <c r="I49" s="13">
        <f>VLOOKUP(H49,'Ordinal Ratings'!I$6:K$25,2,FALSE)</f>
        <v>9</v>
      </c>
      <c r="J49" s="12"/>
      <c r="K49" s="12">
        <v>1</v>
      </c>
      <c r="L49" s="153"/>
      <c r="M49" s="576" t="s">
        <v>499</v>
      </c>
      <c r="N49" s="13">
        <f>VLOOKUP(M49,'Ordinal Ratings'!E$6:G$15,2,FALSE)</f>
        <v>3</v>
      </c>
      <c r="O49" s="84"/>
      <c r="P49" s="577">
        <v>0.9</v>
      </c>
    </row>
    <row r="50" spans="1:16" s="82" customFormat="1">
      <c r="A50" s="13">
        <f t="shared" si="1"/>
        <v>6</v>
      </c>
      <c r="B50" s="578" t="s">
        <v>1468</v>
      </c>
      <c r="C50" s="575" t="s">
        <v>547</v>
      </c>
      <c r="E50" s="576" t="s">
        <v>496</v>
      </c>
      <c r="F50" s="13">
        <f>VLOOKUP(E50,'Ordinal Ratings'!A$6:C$28,2,FALSE)</f>
        <v>4</v>
      </c>
      <c r="G50" s="12"/>
      <c r="H50" s="576" t="s">
        <v>497</v>
      </c>
      <c r="I50" s="13">
        <f>VLOOKUP(H50,'Ordinal Ratings'!I$6:K$25,2,FALSE)</f>
        <v>4</v>
      </c>
      <c r="J50" s="12"/>
      <c r="K50" s="12">
        <v>1</v>
      </c>
      <c r="L50" s="153"/>
      <c r="M50" s="576" t="s">
        <v>501</v>
      </c>
      <c r="N50" s="13">
        <f>VLOOKUP(M50,'Ordinal Ratings'!E$6:G$15,2,FALSE)</f>
        <v>1</v>
      </c>
      <c r="O50" s="84"/>
      <c r="P50" s="577">
        <v>0.9</v>
      </c>
    </row>
    <row r="51" spans="1:16" s="82" customFormat="1">
      <c r="A51" s="13">
        <f t="shared" si="1"/>
        <v>7</v>
      </c>
      <c r="B51" s="578" t="s">
        <v>360</v>
      </c>
      <c r="C51" s="575" t="s">
        <v>362</v>
      </c>
      <c r="E51" s="576" t="s">
        <v>499</v>
      </c>
      <c r="F51" s="13">
        <f>VLOOKUP(E51,'Ordinal Ratings'!A$6:C$28,2,FALSE)</f>
        <v>6</v>
      </c>
      <c r="G51" s="12"/>
      <c r="H51" s="576" t="s">
        <v>500</v>
      </c>
      <c r="I51" s="13">
        <f>VLOOKUP(H51,'Ordinal Ratings'!I$6:K$25,2,FALSE)</f>
        <v>6</v>
      </c>
      <c r="J51" s="12"/>
      <c r="K51" s="12">
        <v>1</v>
      </c>
      <c r="L51" s="153"/>
      <c r="M51" s="576" t="s">
        <v>498</v>
      </c>
      <c r="N51" s="13">
        <f>VLOOKUP(M51,'Ordinal Ratings'!E$6:G$15,2,FALSE)</f>
        <v>2</v>
      </c>
      <c r="O51" s="84"/>
      <c r="P51" s="577">
        <v>0.75</v>
      </c>
    </row>
    <row r="52" spans="1:16" s="82" customFormat="1">
      <c r="A52" s="13">
        <f t="shared" si="1"/>
        <v>8</v>
      </c>
      <c r="B52" s="578" t="s">
        <v>365</v>
      </c>
      <c r="C52" s="575" t="s">
        <v>367</v>
      </c>
      <c r="E52" s="576" t="s">
        <v>508</v>
      </c>
      <c r="F52" s="13">
        <f>VLOOKUP(E52,'Ordinal Ratings'!A$6:C$28,2,FALSE)</f>
        <v>7</v>
      </c>
      <c r="G52" s="12"/>
      <c r="H52" s="576" t="s">
        <v>509</v>
      </c>
      <c r="I52" s="13">
        <f>VLOOKUP(H52,'Ordinal Ratings'!I$6:K$25,2,FALSE)</f>
        <v>5</v>
      </c>
      <c r="J52" s="12"/>
      <c r="K52" s="12">
        <v>1</v>
      </c>
      <c r="L52" s="153"/>
      <c r="M52" s="576" t="s">
        <v>499</v>
      </c>
      <c r="N52" s="13">
        <f>VLOOKUP(M52,'Ordinal Ratings'!E$6:G$15,2,FALSE)</f>
        <v>3</v>
      </c>
      <c r="O52" s="84"/>
      <c r="P52" s="577">
        <v>0.75</v>
      </c>
    </row>
    <row r="53" spans="1:16" s="82" customFormat="1">
      <c r="A53" s="13">
        <f t="shared" si="1"/>
        <v>9</v>
      </c>
      <c r="B53" s="578" t="s">
        <v>368</v>
      </c>
      <c r="C53" s="575" t="s">
        <v>370</v>
      </c>
      <c r="E53" s="576" t="s">
        <v>91</v>
      </c>
      <c r="F53" s="13">
        <f>VLOOKUP(E53,'Ordinal Ratings'!A$6:C$28,2,FALSE)</f>
        <v>8</v>
      </c>
      <c r="G53" s="12"/>
      <c r="H53" s="576" t="s">
        <v>510</v>
      </c>
      <c r="I53" s="13">
        <f>VLOOKUP(H53,'Ordinal Ratings'!I$6:K$25,2,FALSE)</f>
        <v>7</v>
      </c>
      <c r="J53" s="12"/>
      <c r="K53" s="12">
        <v>1</v>
      </c>
      <c r="L53" s="153"/>
      <c r="M53" s="576" t="s">
        <v>499</v>
      </c>
      <c r="N53" s="13">
        <f>VLOOKUP(M53,'Ordinal Ratings'!E$6:G$15,2,FALSE)</f>
        <v>3</v>
      </c>
      <c r="O53" s="84"/>
      <c r="P53" s="577">
        <v>0.5</v>
      </c>
    </row>
    <row r="54" spans="1:16" s="82" customFormat="1">
      <c r="A54" s="13">
        <f t="shared" si="1"/>
        <v>10</v>
      </c>
      <c r="B54" s="578" t="s">
        <v>371</v>
      </c>
      <c r="C54" s="575" t="s">
        <v>373</v>
      </c>
      <c r="E54" s="576" t="s">
        <v>496</v>
      </c>
      <c r="F54" s="13">
        <f>VLOOKUP(E54,'Ordinal Ratings'!A$6:C$28,2,FALSE)</f>
        <v>4</v>
      </c>
      <c r="G54" s="12"/>
      <c r="H54" s="576" t="s">
        <v>509</v>
      </c>
      <c r="I54" s="13">
        <f>VLOOKUP(H54,'Ordinal Ratings'!I$6:K$25,2,FALSE)</f>
        <v>5</v>
      </c>
      <c r="J54" s="12"/>
      <c r="K54" s="12">
        <v>1</v>
      </c>
      <c r="L54" s="153"/>
      <c r="M54" s="576" t="s">
        <v>498</v>
      </c>
      <c r="N54" s="13">
        <f>VLOOKUP(M54,'Ordinal Ratings'!E$6:G$15,2,FALSE)</f>
        <v>2</v>
      </c>
      <c r="O54" s="84"/>
      <c r="P54" s="577">
        <v>0.9</v>
      </c>
    </row>
    <row r="55" spans="1:16" s="82" customFormat="1">
      <c r="A55" s="13">
        <f t="shared" si="1"/>
        <v>11</v>
      </c>
      <c r="B55" s="578" t="s">
        <v>1370</v>
      </c>
      <c r="C55" s="575" t="s">
        <v>658</v>
      </c>
      <c r="E55" s="576" t="s">
        <v>496</v>
      </c>
      <c r="F55" s="13">
        <f>VLOOKUP(E55,'Ordinal Ratings'!A$6:C$28,2,FALSE)</f>
        <v>4</v>
      </c>
      <c r="G55" s="12"/>
      <c r="H55" s="576" t="s">
        <v>497</v>
      </c>
      <c r="I55" s="13">
        <f>VLOOKUP(H55,'Ordinal Ratings'!I$6:K$25,2,FALSE)</f>
        <v>4</v>
      </c>
      <c r="J55" s="12"/>
      <c r="K55" s="12">
        <v>1</v>
      </c>
      <c r="L55" s="153"/>
      <c r="M55" s="576" t="s">
        <v>498</v>
      </c>
      <c r="N55" s="13">
        <f>VLOOKUP(M55,'Ordinal Ratings'!E$6:G$15,2,FALSE)</f>
        <v>2</v>
      </c>
      <c r="O55" s="84"/>
      <c r="P55" s="577">
        <v>0.8</v>
      </c>
    </row>
    <row r="56" spans="1:16" s="82" customFormat="1">
      <c r="A56" s="13">
        <f t="shared" si="1"/>
        <v>12</v>
      </c>
      <c r="B56" s="578" t="s">
        <v>374</v>
      </c>
      <c r="C56" s="575" t="s">
        <v>375</v>
      </c>
      <c r="E56" s="576" t="s">
        <v>498</v>
      </c>
      <c r="F56" s="13">
        <f>VLOOKUP(E56,'Ordinal Ratings'!A$6:C$28,2,FALSE)</f>
        <v>5</v>
      </c>
      <c r="G56" s="12"/>
      <c r="H56" s="576" t="s">
        <v>509</v>
      </c>
      <c r="I56" s="13">
        <f>VLOOKUP(H56,'Ordinal Ratings'!I$6:K$25,2,FALSE)</f>
        <v>5</v>
      </c>
      <c r="J56" s="12"/>
      <c r="K56" s="12">
        <v>1</v>
      </c>
      <c r="L56" s="153"/>
      <c r="M56" s="576" t="s">
        <v>498</v>
      </c>
      <c r="N56" s="13">
        <f>VLOOKUP(M56,'Ordinal Ratings'!E$6:G$15,2,FALSE)</f>
        <v>2</v>
      </c>
      <c r="O56" s="84"/>
      <c r="P56" s="577">
        <v>0.7</v>
      </c>
    </row>
    <row r="57" spans="1:16" s="82" customFormat="1">
      <c r="A57" s="13">
        <f t="shared" si="1"/>
        <v>13</v>
      </c>
      <c r="B57" s="578" t="s">
        <v>376</v>
      </c>
      <c r="C57" s="575" t="s">
        <v>377</v>
      </c>
      <c r="E57" s="576" t="s">
        <v>498</v>
      </c>
      <c r="F57" s="13">
        <f>VLOOKUP(E57,'Ordinal Ratings'!A$6:C$28,2,FALSE)</f>
        <v>5</v>
      </c>
      <c r="G57" s="12"/>
      <c r="H57" s="576" t="s">
        <v>497</v>
      </c>
      <c r="I57" s="13">
        <f>VLOOKUP(H57,'Ordinal Ratings'!I$6:K$25,2,FALSE)</f>
        <v>4</v>
      </c>
      <c r="J57" s="12"/>
      <c r="K57" s="12">
        <v>1</v>
      </c>
      <c r="L57" s="153"/>
      <c r="M57" s="576" t="s">
        <v>499</v>
      </c>
      <c r="N57" s="13">
        <f>VLOOKUP(M57,'Ordinal Ratings'!E$6:G$15,2,FALSE)</f>
        <v>3</v>
      </c>
      <c r="O57" s="84"/>
      <c r="P57" s="577">
        <v>0.55000000000000004</v>
      </c>
    </row>
    <row r="58" spans="1:16" s="82" customFormat="1">
      <c r="A58" s="13">
        <f t="shared" si="1"/>
        <v>14</v>
      </c>
      <c r="B58" s="578" t="s">
        <v>379</v>
      </c>
      <c r="C58" s="575" t="s">
        <v>381</v>
      </c>
      <c r="E58" s="576" t="s">
        <v>512</v>
      </c>
      <c r="F58" s="13">
        <f>VLOOKUP(E58,'Ordinal Ratings'!A$6:C$28,2,FALSE)</f>
        <v>3</v>
      </c>
      <c r="G58" s="12"/>
      <c r="H58" s="576" t="s">
        <v>497</v>
      </c>
      <c r="I58" s="13">
        <f>VLOOKUP(H58,'Ordinal Ratings'!I$6:K$25,2,FALSE)</f>
        <v>4</v>
      </c>
      <c r="J58" s="12"/>
      <c r="K58" s="12">
        <v>1</v>
      </c>
      <c r="L58" s="153"/>
      <c r="M58" s="576" t="s">
        <v>498</v>
      </c>
      <c r="N58" s="13">
        <f>VLOOKUP(M58,'Ordinal Ratings'!E$6:G$15,2,FALSE)</f>
        <v>2</v>
      </c>
      <c r="O58" s="84"/>
      <c r="P58" s="577">
        <v>0.75</v>
      </c>
    </row>
    <row r="59" spans="1:16" s="82" customFormat="1">
      <c r="A59" s="13">
        <f t="shared" si="1"/>
        <v>15</v>
      </c>
      <c r="B59" s="578" t="s">
        <v>1371</v>
      </c>
      <c r="C59" s="575" t="s">
        <v>722</v>
      </c>
      <c r="E59" s="576" t="s">
        <v>91</v>
      </c>
      <c r="F59" s="13">
        <f>VLOOKUP(E59,'Ordinal Ratings'!A$6:C$28,2,FALSE)</f>
        <v>8</v>
      </c>
      <c r="G59" s="12"/>
      <c r="H59" s="576" t="s">
        <v>90</v>
      </c>
      <c r="I59" s="13">
        <f>VLOOKUP(H59,'Ordinal Ratings'!I$6:K$25,2,FALSE)</f>
        <v>8</v>
      </c>
      <c r="J59" s="12"/>
      <c r="K59" s="12">
        <v>1</v>
      </c>
      <c r="L59" s="153"/>
      <c r="M59" s="576" t="s">
        <v>498</v>
      </c>
      <c r="N59" s="13">
        <f>VLOOKUP(M59,'Ordinal Ratings'!E$6:G$15,2,FALSE)</f>
        <v>2</v>
      </c>
      <c r="O59" s="84"/>
      <c r="P59" s="577">
        <v>0.7</v>
      </c>
    </row>
    <row r="60" spans="1:16" s="82" customFormat="1">
      <c r="A60" s="13">
        <f t="shared" si="1"/>
        <v>16</v>
      </c>
      <c r="B60" s="578" t="s">
        <v>382</v>
      </c>
      <c r="C60" s="575" t="s">
        <v>383</v>
      </c>
      <c r="E60" s="576" t="s">
        <v>502</v>
      </c>
      <c r="F60" s="13">
        <f>VLOOKUP(E60,'Ordinal Ratings'!A$6:C$28,2,FALSE)</f>
        <v>9</v>
      </c>
      <c r="G60" s="12"/>
      <c r="H60" s="576" t="s">
        <v>505</v>
      </c>
      <c r="I60" s="13">
        <f>VLOOKUP(H60,'Ordinal Ratings'!I$6:K$25,2,FALSE)</f>
        <v>9</v>
      </c>
      <c r="J60" s="12"/>
      <c r="K60" s="12">
        <v>1</v>
      </c>
      <c r="L60" s="153"/>
      <c r="M60" s="576" t="s">
        <v>499</v>
      </c>
      <c r="N60" s="13">
        <f>VLOOKUP(M60,'Ordinal Ratings'!E$6:G$15,2,FALSE)</f>
        <v>3</v>
      </c>
      <c r="O60" s="84"/>
      <c r="P60" s="577">
        <v>0.9</v>
      </c>
    </row>
    <row r="61" spans="1:16" s="82" customFormat="1">
      <c r="A61" s="13">
        <f t="shared" si="1"/>
        <v>17</v>
      </c>
      <c r="B61" s="578" t="s">
        <v>1469</v>
      </c>
      <c r="C61" s="575" t="s">
        <v>786</v>
      </c>
      <c r="E61" s="576" t="s">
        <v>499</v>
      </c>
      <c r="F61" s="13">
        <f>VLOOKUP(E61,'Ordinal Ratings'!A$6:C$28,2,FALSE)</f>
        <v>6</v>
      </c>
      <c r="G61" s="12"/>
      <c r="H61" s="576" t="s">
        <v>500</v>
      </c>
      <c r="I61" s="13">
        <f>VLOOKUP(H61,'Ordinal Ratings'!I$6:K$25,2,FALSE)</f>
        <v>6</v>
      </c>
      <c r="J61" s="12"/>
      <c r="K61" s="12">
        <v>1</v>
      </c>
      <c r="L61" s="153"/>
      <c r="M61" s="576" t="s">
        <v>498</v>
      </c>
      <c r="N61" s="13">
        <f>VLOOKUP(M61,'Ordinal Ratings'!E$6:G$15,2,FALSE)</f>
        <v>2</v>
      </c>
      <c r="O61" s="84"/>
      <c r="P61" s="577">
        <v>0.9</v>
      </c>
    </row>
    <row r="62" spans="1:16" s="82" customFormat="1">
      <c r="A62" s="13">
        <f t="shared" si="1"/>
        <v>18</v>
      </c>
      <c r="B62" s="578" t="s">
        <v>1470</v>
      </c>
      <c r="C62" s="575" t="s">
        <v>385</v>
      </c>
      <c r="E62" s="576" t="s">
        <v>502</v>
      </c>
      <c r="F62" s="13">
        <f>VLOOKUP(E62,'Ordinal Ratings'!A$6:C$28,2,FALSE)</f>
        <v>9</v>
      </c>
      <c r="G62" s="12"/>
      <c r="H62" s="576" t="s">
        <v>505</v>
      </c>
      <c r="I62" s="13">
        <f>VLOOKUP(H62,'Ordinal Ratings'!I$6:K$25,2,FALSE)</f>
        <v>9</v>
      </c>
      <c r="J62" s="12"/>
      <c r="K62" s="12">
        <v>1</v>
      </c>
      <c r="L62" s="153"/>
      <c r="M62" s="576" t="s">
        <v>1261</v>
      </c>
      <c r="N62" s="13">
        <f>VLOOKUP(M62,'Ordinal Ratings'!E$6:G$15,2,FALSE)</f>
        <v>4</v>
      </c>
      <c r="O62" s="84"/>
      <c r="P62" s="577">
        <v>0.4</v>
      </c>
    </row>
    <row r="63" spans="1:16" s="82" customFormat="1">
      <c r="A63" s="13">
        <f t="shared" si="1"/>
        <v>19</v>
      </c>
      <c r="B63" s="578" t="s">
        <v>386</v>
      </c>
      <c r="C63" s="575" t="s">
        <v>387</v>
      </c>
      <c r="E63" s="576" t="s">
        <v>508</v>
      </c>
      <c r="F63" s="13">
        <f>VLOOKUP(E63,'Ordinal Ratings'!A$6:C$28,2,FALSE)</f>
        <v>7</v>
      </c>
      <c r="G63" s="12"/>
      <c r="H63" s="576" t="s">
        <v>510</v>
      </c>
      <c r="I63" s="13">
        <f>VLOOKUP(H63,'Ordinal Ratings'!I$6:K$25,2,FALSE)</f>
        <v>7</v>
      </c>
      <c r="J63" s="12"/>
      <c r="K63" s="12">
        <v>1</v>
      </c>
      <c r="L63" s="153"/>
      <c r="M63" s="576" t="s">
        <v>499</v>
      </c>
      <c r="N63" s="13">
        <f>VLOOKUP(M63,'Ordinal Ratings'!E$6:G$15,2,FALSE)</f>
        <v>3</v>
      </c>
      <c r="O63" s="84"/>
      <c r="P63" s="577">
        <v>0.75</v>
      </c>
    </row>
    <row r="64" spans="1:16" s="82" customFormat="1">
      <c r="A64" s="13">
        <f t="shared" si="1"/>
        <v>20</v>
      </c>
      <c r="B64" s="578" t="s">
        <v>388</v>
      </c>
      <c r="C64" s="575" t="s">
        <v>389</v>
      </c>
      <c r="E64" s="576" t="s">
        <v>499</v>
      </c>
      <c r="F64" s="13">
        <f>VLOOKUP(E64,'Ordinal Ratings'!A$6:C$28,2,FALSE)</f>
        <v>6</v>
      </c>
      <c r="G64" s="12"/>
      <c r="H64" s="576" t="s">
        <v>509</v>
      </c>
      <c r="I64" s="13">
        <f>VLOOKUP(H64,'Ordinal Ratings'!I$6:K$25,2,FALSE)</f>
        <v>5</v>
      </c>
      <c r="J64" s="12"/>
      <c r="K64" s="12">
        <v>1</v>
      </c>
      <c r="L64" s="153"/>
      <c r="M64" s="576" t="s">
        <v>498</v>
      </c>
      <c r="N64" s="13">
        <f>VLOOKUP(M64,'Ordinal Ratings'!E$6:G$15,2,FALSE)</f>
        <v>2</v>
      </c>
      <c r="O64" s="84"/>
      <c r="P64" s="577">
        <v>0.6</v>
      </c>
    </row>
    <row r="65" spans="1:16" s="82" customFormat="1">
      <c r="A65" s="13">
        <f t="shared" si="1"/>
        <v>21</v>
      </c>
      <c r="B65" s="578" t="s">
        <v>390</v>
      </c>
      <c r="C65" s="575" t="s">
        <v>392</v>
      </c>
      <c r="E65" s="576" t="s">
        <v>499</v>
      </c>
      <c r="F65" s="13">
        <f>VLOOKUP(E65,'Ordinal Ratings'!A$6:C$28,2,FALSE)</f>
        <v>6</v>
      </c>
      <c r="G65" s="12"/>
      <c r="H65" s="576" t="s">
        <v>500</v>
      </c>
      <c r="I65" s="13">
        <f>VLOOKUP(H65,'Ordinal Ratings'!I$6:K$25,2,FALSE)</f>
        <v>6</v>
      </c>
      <c r="J65" s="12"/>
      <c r="K65" s="12">
        <v>1</v>
      </c>
      <c r="L65" s="153"/>
      <c r="M65" s="576" t="s">
        <v>501</v>
      </c>
      <c r="N65" s="13">
        <f>VLOOKUP(M65,'Ordinal Ratings'!E$6:G$15,2,FALSE)</f>
        <v>1</v>
      </c>
      <c r="O65" s="84"/>
      <c r="P65" s="577">
        <v>0.9</v>
      </c>
    </row>
    <row r="66" spans="1:16" s="82" customFormat="1">
      <c r="A66" s="13">
        <f t="shared" si="1"/>
        <v>22</v>
      </c>
      <c r="B66" s="578" t="s">
        <v>393</v>
      </c>
      <c r="C66" s="575" t="s">
        <v>394</v>
      </c>
      <c r="E66" s="576" t="s">
        <v>508</v>
      </c>
      <c r="F66" s="13">
        <f>VLOOKUP(E66,'Ordinal Ratings'!A$6:C$28,2,FALSE)</f>
        <v>7</v>
      </c>
      <c r="G66" s="12"/>
      <c r="H66" s="576" t="s">
        <v>509</v>
      </c>
      <c r="I66" s="13">
        <f>VLOOKUP(H66,'Ordinal Ratings'!I$6:K$25,2,FALSE)</f>
        <v>5</v>
      </c>
      <c r="J66" s="12"/>
      <c r="K66" s="12">
        <v>1</v>
      </c>
      <c r="L66" s="153"/>
      <c r="M66" s="576" t="s">
        <v>499</v>
      </c>
      <c r="N66" s="13">
        <f>VLOOKUP(M66,'Ordinal Ratings'!E$6:G$15,2,FALSE)</f>
        <v>3</v>
      </c>
      <c r="O66" s="84"/>
      <c r="P66" s="577">
        <v>0.5</v>
      </c>
    </row>
    <row r="67" spans="1:16" s="82" customFormat="1">
      <c r="A67" s="13">
        <f t="shared" si="1"/>
        <v>23</v>
      </c>
      <c r="B67" s="578" t="s">
        <v>1372</v>
      </c>
      <c r="C67" s="575" t="s">
        <v>840</v>
      </c>
      <c r="E67" s="576" t="s">
        <v>508</v>
      </c>
      <c r="F67" s="13">
        <f>VLOOKUP(E67,'Ordinal Ratings'!A$6:C$28,2,FALSE)</f>
        <v>7</v>
      </c>
      <c r="G67" s="12"/>
      <c r="H67" s="576" t="s">
        <v>510</v>
      </c>
      <c r="I67" s="13">
        <f>VLOOKUP(H67,'Ordinal Ratings'!I$6:K$25,2,FALSE)</f>
        <v>7</v>
      </c>
      <c r="J67" s="12"/>
      <c r="K67" s="12">
        <v>1</v>
      </c>
      <c r="L67" s="153"/>
      <c r="M67" s="576" t="s">
        <v>498</v>
      </c>
      <c r="N67" s="13">
        <f>VLOOKUP(M67,'Ordinal Ratings'!E$6:G$15,2,FALSE)</f>
        <v>2</v>
      </c>
      <c r="O67" s="84"/>
      <c r="P67" s="577">
        <v>0.85</v>
      </c>
    </row>
    <row r="68" spans="1:16" s="82" customFormat="1">
      <c r="A68" s="13">
        <f t="shared" si="1"/>
        <v>24</v>
      </c>
      <c r="B68" s="578" t="s">
        <v>397</v>
      </c>
      <c r="C68" s="575" t="s">
        <v>398</v>
      </c>
      <c r="E68" s="576" t="s">
        <v>511</v>
      </c>
      <c r="F68" s="13">
        <f>VLOOKUP(E68,'Ordinal Ratings'!A$6:C$28,2,FALSE)</f>
        <v>1</v>
      </c>
      <c r="G68" s="12"/>
      <c r="H68" s="576" t="s">
        <v>504</v>
      </c>
      <c r="I68" s="13">
        <f>VLOOKUP(H68,'Ordinal Ratings'!I$6:K$25,2,FALSE)</f>
        <v>1</v>
      </c>
      <c r="J68" s="12"/>
      <c r="K68" s="12">
        <v>1</v>
      </c>
      <c r="L68" s="153"/>
      <c r="M68" s="576" t="s">
        <v>501</v>
      </c>
      <c r="N68" s="13">
        <f>VLOOKUP(M68,'Ordinal Ratings'!E$6:G$15,2,FALSE)</f>
        <v>1</v>
      </c>
      <c r="O68" s="84"/>
      <c r="P68" s="577">
        <v>0.65</v>
      </c>
    </row>
    <row r="69" spans="1:16" s="82" customFormat="1">
      <c r="A69" s="13">
        <f t="shared" si="1"/>
        <v>25</v>
      </c>
      <c r="B69" s="578" t="s">
        <v>399</v>
      </c>
      <c r="C69" s="575" t="s">
        <v>400</v>
      </c>
      <c r="E69" s="576" t="s">
        <v>499</v>
      </c>
      <c r="F69" s="13">
        <f>VLOOKUP(E69,'Ordinal Ratings'!A$6:C$28,2,FALSE)</f>
        <v>6</v>
      </c>
      <c r="G69" s="12"/>
      <c r="H69" s="576" t="s">
        <v>500</v>
      </c>
      <c r="I69" s="13">
        <f>VLOOKUP(H69,'Ordinal Ratings'!I$6:K$25,2,FALSE)</f>
        <v>6</v>
      </c>
      <c r="J69" s="12"/>
      <c r="K69" s="12">
        <v>1</v>
      </c>
      <c r="L69" s="153"/>
      <c r="M69" s="576" t="s">
        <v>499</v>
      </c>
      <c r="N69" s="13">
        <f>VLOOKUP(M69,'Ordinal Ratings'!E$6:G$15,2,FALSE)</f>
        <v>3</v>
      </c>
      <c r="O69" s="84"/>
      <c r="P69" s="577">
        <v>0.55000000000000004</v>
      </c>
    </row>
    <row r="70" spans="1:16" s="82" customFormat="1">
      <c r="A70" s="13">
        <f t="shared" si="1"/>
        <v>26</v>
      </c>
      <c r="B70" s="578" t="s">
        <v>401</v>
      </c>
      <c r="C70" s="575" t="s">
        <v>402</v>
      </c>
      <c r="E70" s="576" t="s">
        <v>498</v>
      </c>
      <c r="F70" s="13">
        <f>VLOOKUP(E70,'Ordinal Ratings'!A$6:C$28,2,FALSE)</f>
        <v>5</v>
      </c>
      <c r="G70" s="12"/>
      <c r="H70" s="576" t="s">
        <v>497</v>
      </c>
      <c r="I70" s="13">
        <f>VLOOKUP(H70,'Ordinal Ratings'!I$6:K$25,2,FALSE)</f>
        <v>4</v>
      </c>
      <c r="J70" s="12"/>
      <c r="K70" s="12">
        <v>1</v>
      </c>
      <c r="L70" s="153"/>
      <c r="M70" s="576" t="s">
        <v>501</v>
      </c>
      <c r="N70" s="13">
        <f>VLOOKUP(M70,'Ordinal Ratings'!E$6:G$15,2,FALSE)</f>
        <v>1</v>
      </c>
      <c r="O70" s="84"/>
      <c r="P70" s="577">
        <v>0.85</v>
      </c>
    </row>
    <row r="71" spans="1:16" s="82" customFormat="1">
      <c r="A71" s="13">
        <f t="shared" si="1"/>
        <v>27</v>
      </c>
      <c r="B71" s="578" t="s">
        <v>403</v>
      </c>
      <c r="C71" s="575" t="s">
        <v>405</v>
      </c>
      <c r="E71" s="576" t="s">
        <v>508</v>
      </c>
      <c r="F71" s="13">
        <f>VLOOKUP(E71,'Ordinal Ratings'!A$6:C$28,2,FALSE)</f>
        <v>7</v>
      </c>
      <c r="G71" s="12"/>
      <c r="H71" s="576" t="s">
        <v>500</v>
      </c>
      <c r="I71" s="13">
        <f>VLOOKUP(H71,'Ordinal Ratings'!I$6:K$25,2,FALSE)</f>
        <v>6</v>
      </c>
      <c r="J71" s="12"/>
      <c r="K71" s="12">
        <v>1</v>
      </c>
      <c r="L71" s="153"/>
      <c r="M71" s="576" t="s">
        <v>499</v>
      </c>
      <c r="N71" s="13">
        <f>VLOOKUP(M71,'Ordinal Ratings'!E$6:G$15,2,FALSE)</f>
        <v>3</v>
      </c>
      <c r="O71" s="84"/>
      <c r="P71" s="577">
        <v>0.7</v>
      </c>
    </row>
    <row r="72" spans="1:16" s="82" customFormat="1">
      <c r="A72" s="13">
        <f t="shared" si="1"/>
        <v>28</v>
      </c>
      <c r="B72" s="578" t="s">
        <v>406</v>
      </c>
      <c r="C72" s="575" t="s">
        <v>407</v>
      </c>
      <c r="E72" s="576" t="s">
        <v>508</v>
      </c>
      <c r="F72" s="13">
        <f>VLOOKUP(E72,'Ordinal Ratings'!A$6:C$28,2,FALSE)</f>
        <v>7</v>
      </c>
      <c r="G72" s="12"/>
      <c r="H72" s="576" t="s">
        <v>510</v>
      </c>
      <c r="I72" s="13">
        <f>VLOOKUP(H72,'Ordinal Ratings'!I$6:K$25,2,FALSE)</f>
        <v>7</v>
      </c>
      <c r="J72" s="12"/>
      <c r="K72" s="12">
        <v>1</v>
      </c>
      <c r="L72" s="153"/>
      <c r="M72" s="576" t="s">
        <v>499</v>
      </c>
      <c r="N72" s="13">
        <f>VLOOKUP(M72,'Ordinal Ratings'!E$6:G$15,2,FALSE)</f>
        <v>3</v>
      </c>
      <c r="O72" s="84"/>
      <c r="P72" s="577">
        <v>0.9</v>
      </c>
    </row>
    <row r="73" spans="1:16" s="82" customFormat="1">
      <c r="A73" s="13">
        <f t="shared" si="1"/>
        <v>29</v>
      </c>
      <c r="B73" s="578" t="s">
        <v>409</v>
      </c>
      <c r="C73" s="575" t="s">
        <v>411</v>
      </c>
      <c r="E73" s="576" t="s">
        <v>91</v>
      </c>
      <c r="F73" s="13">
        <f>VLOOKUP(E73,'Ordinal Ratings'!A$6:C$28,2,FALSE)</f>
        <v>8</v>
      </c>
      <c r="G73" s="12"/>
      <c r="H73" s="576" t="s">
        <v>90</v>
      </c>
      <c r="I73" s="13">
        <f>VLOOKUP(H73,'Ordinal Ratings'!I$6:K$25,2,FALSE)</f>
        <v>8</v>
      </c>
      <c r="J73" s="12"/>
      <c r="K73" s="12">
        <v>1</v>
      </c>
      <c r="L73" s="153"/>
      <c r="M73" s="576" t="s">
        <v>501</v>
      </c>
      <c r="N73" s="13">
        <f>VLOOKUP(M73,'Ordinal Ratings'!E$6:G$15,2,FALSE)</f>
        <v>1</v>
      </c>
      <c r="O73" s="84"/>
      <c r="P73" s="577">
        <v>0.75</v>
      </c>
    </row>
    <row r="74" spans="1:16" s="82" customFormat="1">
      <c r="A74" s="13">
        <f t="shared" si="1"/>
        <v>30</v>
      </c>
      <c r="B74" s="578" t="s">
        <v>412</v>
      </c>
      <c r="C74" s="575" t="s">
        <v>413</v>
      </c>
      <c r="E74" s="576" t="s">
        <v>91</v>
      </c>
      <c r="F74" s="13">
        <f>VLOOKUP(E74,'Ordinal Ratings'!A$6:C$28,2,FALSE)</f>
        <v>8</v>
      </c>
      <c r="G74" s="12"/>
      <c r="H74" s="576" t="s">
        <v>510</v>
      </c>
      <c r="I74" s="13">
        <f>VLOOKUP(H74,'Ordinal Ratings'!I$6:K$25,2,FALSE)</f>
        <v>7</v>
      </c>
      <c r="J74" s="12"/>
      <c r="K74" s="12">
        <v>1</v>
      </c>
      <c r="L74" s="153"/>
      <c r="M74" s="576" t="s">
        <v>499</v>
      </c>
      <c r="N74" s="13">
        <f>VLOOKUP(M74,'Ordinal Ratings'!E$6:G$15,2,FALSE)</f>
        <v>3</v>
      </c>
      <c r="O74" s="84"/>
      <c r="P74" s="577">
        <v>0.75</v>
      </c>
    </row>
    <row r="75" spans="1:16" s="82" customFormat="1">
      <c r="A75" s="13">
        <f t="shared" si="1"/>
        <v>31</v>
      </c>
      <c r="B75" s="578" t="s">
        <v>414</v>
      </c>
      <c r="C75" s="575" t="s">
        <v>415</v>
      </c>
      <c r="E75" s="576" t="s">
        <v>498</v>
      </c>
      <c r="F75" s="13">
        <f>VLOOKUP(E75,'Ordinal Ratings'!A$6:C$28,2,FALSE)</f>
        <v>5</v>
      </c>
      <c r="G75" s="12"/>
      <c r="H75" s="576" t="s">
        <v>497</v>
      </c>
      <c r="I75" s="13">
        <f>VLOOKUP(H75,'Ordinal Ratings'!I$6:K$25,2,FALSE)</f>
        <v>4</v>
      </c>
      <c r="J75" s="12"/>
      <c r="K75" s="12">
        <v>1</v>
      </c>
      <c r="L75" s="153"/>
      <c r="M75" s="576" t="s">
        <v>499</v>
      </c>
      <c r="N75" s="13">
        <f>VLOOKUP(M75,'Ordinal Ratings'!E$6:G$15,2,FALSE)</f>
        <v>3</v>
      </c>
      <c r="O75" s="84"/>
      <c r="P75" s="577">
        <v>0.7</v>
      </c>
    </row>
    <row r="76" spans="1:16" s="82" customFormat="1">
      <c r="A76" s="13">
        <f t="shared" si="1"/>
        <v>32</v>
      </c>
      <c r="B76" s="578" t="s">
        <v>416</v>
      </c>
      <c r="C76" s="575" t="s">
        <v>418</v>
      </c>
      <c r="E76" s="576" t="s">
        <v>511</v>
      </c>
      <c r="F76" s="13">
        <f>VLOOKUP(E76,'Ordinal Ratings'!A$6:C$28,2,FALSE)</f>
        <v>1</v>
      </c>
      <c r="G76" s="12"/>
      <c r="H76" s="576" t="s">
        <v>504</v>
      </c>
      <c r="I76" s="13">
        <f>VLOOKUP(H76,'Ordinal Ratings'!I$6:K$25,2,FALSE)</f>
        <v>1</v>
      </c>
      <c r="J76" s="12"/>
      <c r="K76" s="12">
        <v>1</v>
      </c>
      <c r="L76" s="153"/>
      <c r="M76" s="576" t="s">
        <v>501</v>
      </c>
      <c r="N76" s="13">
        <f>VLOOKUP(M76,'Ordinal Ratings'!E$6:G$15,2,FALSE)</f>
        <v>1</v>
      </c>
      <c r="O76" s="84"/>
      <c r="P76" s="577">
        <v>0.9</v>
      </c>
    </row>
    <row r="77" spans="1:16" s="82" customFormat="1">
      <c r="A77" s="13">
        <f t="shared" si="1"/>
        <v>33</v>
      </c>
      <c r="B77" s="578" t="s">
        <v>419</v>
      </c>
      <c r="C77" s="575" t="s">
        <v>420</v>
      </c>
      <c r="E77" s="576" t="s">
        <v>502</v>
      </c>
      <c r="F77" s="13">
        <f>VLOOKUP(E77,'Ordinal Ratings'!A$6:C$28,2,FALSE)</f>
        <v>9</v>
      </c>
      <c r="G77" s="12"/>
      <c r="H77" s="576" t="s">
        <v>90</v>
      </c>
      <c r="I77" s="13">
        <f>VLOOKUP(H77,'Ordinal Ratings'!I$6:K$25,2,FALSE)</f>
        <v>8</v>
      </c>
      <c r="J77" s="12"/>
      <c r="K77" s="12">
        <v>1</v>
      </c>
      <c r="L77" s="153"/>
      <c r="M77" s="576" t="s">
        <v>498</v>
      </c>
      <c r="N77" s="13">
        <f>VLOOKUP(M77,'Ordinal Ratings'!E$6:G$15,2,FALSE)</f>
        <v>2</v>
      </c>
      <c r="O77" s="84"/>
      <c r="P77" s="577">
        <v>0.65</v>
      </c>
    </row>
    <row r="78" spans="1:16" s="82" customFormat="1">
      <c r="A78" s="13">
        <f t="shared" si="1"/>
        <v>34</v>
      </c>
      <c r="B78" s="578" t="s">
        <v>421</v>
      </c>
      <c r="C78" s="575" t="s">
        <v>423</v>
      </c>
      <c r="E78" s="576" t="s">
        <v>91</v>
      </c>
      <c r="F78" s="13">
        <f>VLOOKUP(E78,'Ordinal Ratings'!A$6:C$28,2,FALSE)</f>
        <v>8</v>
      </c>
      <c r="G78" s="12"/>
      <c r="H78" s="576" t="s">
        <v>505</v>
      </c>
      <c r="I78" s="13">
        <f>VLOOKUP(H78,'Ordinal Ratings'!I$6:K$25,2,FALSE)</f>
        <v>9</v>
      </c>
      <c r="J78" s="12"/>
      <c r="K78" s="12">
        <v>1</v>
      </c>
      <c r="L78" s="153"/>
      <c r="M78" s="576" t="s">
        <v>499</v>
      </c>
      <c r="N78" s="13">
        <f>VLOOKUP(M78,'Ordinal Ratings'!E$6:G$15,2,FALSE)</f>
        <v>3</v>
      </c>
      <c r="O78" s="84"/>
      <c r="P78" s="577">
        <v>0.75</v>
      </c>
    </row>
    <row r="79" spans="1:16" s="82" customFormat="1">
      <c r="A79" s="13">
        <f t="shared" si="1"/>
        <v>35</v>
      </c>
      <c r="B79" s="578" t="s">
        <v>424</v>
      </c>
      <c r="C79" s="575" t="s">
        <v>425</v>
      </c>
      <c r="E79" s="576" t="s">
        <v>91</v>
      </c>
      <c r="F79" s="13">
        <f>VLOOKUP(E79,'Ordinal Ratings'!A$6:C$28,2,FALSE)</f>
        <v>8</v>
      </c>
      <c r="G79" s="12"/>
      <c r="H79" s="576" t="s">
        <v>90</v>
      </c>
      <c r="I79" s="13">
        <f>VLOOKUP(H79,'Ordinal Ratings'!I$6:K$25,2,FALSE)</f>
        <v>8</v>
      </c>
      <c r="J79" s="12"/>
      <c r="K79" s="12">
        <v>1</v>
      </c>
      <c r="L79" s="153"/>
      <c r="M79" s="576" t="s">
        <v>499</v>
      </c>
      <c r="N79" s="13">
        <f>VLOOKUP(M79,'Ordinal Ratings'!E$6:G$15,2,FALSE)</f>
        <v>3</v>
      </c>
      <c r="O79" s="84"/>
      <c r="P79" s="577">
        <v>0.6</v>
      </c>
    </row>
    <row r="80" spans="1:16" s="82" customFormat="1">
      <c r="A80" s="13">
        <f t="shared" si="1"/>
        <v>36</v>
      </c>
      <c r="B80" s="578" t="s">
        <v>427</v>
      </c>
      <c r="C80" s="575" t="s">
        <v>428</v>
      </c>
      <c r="E80" s="576" t="s">
        <v>498</v>
      </c>
      <c r="F80" s="13">
        <f>VLOOKUP(E80,'Ordinal Ratings'!A$6:C$28,2,FALSE)</f>
        <v>5</v>
      </c>
      <c r="G80" s="12"/>
      <c r="H80" s="576" t="s">
        <v>509</v>
      </c>
      <c r="I80" s="13">
        <f>VLOOKUP(H80,'Ordinal Ratings'!I$6:K$25,2,FALSE)</f>
        <v>5</v>
      </c>
      <c r="J80" s="12"/>
      <c r="K80" s="12">
        <v>1</v>
      </c>
      <c r="L80" s="153"/>
      <c r="M80" s="576" t="s">
        <v>499</v>
      </c>
      <c r="N80" s="13">
        <f>VLOOKUP(M80,'Ordinal Ratings'!E$6:G$15,2,FALSE)</f>
        <v>3</v>
      </c>
      <c r="O80" s="84"/>
      <c r="P80" s="577">
        <v>0.55000000000000004</v>
      </c>
    </row>
    <row r="81" spans="1:16" s="82" customFormat="1">
      <c r="A81" s="13">
        <f t="shared" si="1"/>
        <v>37</v>
      </c>
      <c r="B81" s="578" t="s">
        <v>429</v>
      </c>
      <c r="C81" s="575" t="s">
        <v>430</v>
      </c>
      <c r="E81" s="576" t="s">
        <v>496</v>
      </c>
      <c r="F81" s="13">
        <f>VLOOKUP(E81,'Ordinal Ratings'!A$6:C$28,2,FALSE)</f>
        <v>4</v>
      </c>
      <c r="G81" s="12"/>
      <c r="H81" s="576" t="s">
        <v>497</v>
      </c>
      <c r="I81" s="13">
        <f>VLOOKUP(H81,'Ordinal Ratings'!I$6:K$25,2,FALSE)</f>
        <v>4</v>
      </c>
      <c r="J81" s="12"/>
      <c r="K81" s="12">
        <v>1</v>
      </c>
      <c r="L81" s="153"/>
      <c r="M81" s="576" t="s">
        <v>501</v>
      </c>
      <c r="N81" s="13">
        <f>VLOOKUP(M81,'Ordinal Ratings'!E$6:G$15,2,FALSE)</f>
        <v>1</v>
      </c>
      <c r="O81" s="84"/>
      <c r="P81" s="577">
        <v>0.6</v>
      </c>
    </row>
    <row r="82" spans="1:16" s="82" customFormat="1">
      <c r="A82" s="13">
        <f t="shared" si="1"/>
        <v>38</v>
      </c>
      <c r="B82" s="578" t="s">
        <v>431</v>
      </c>
      <c r="C82" s="575" t="s">
        <v>433</v>
      </c>
      <c r="E82" s="576" t="s">
        <v>499</v>
      </c>
      <c r="F82" s="13">
        <f>VLOOKUP(E82,'Ordinal Ratings'!A$6:C$28,2,FALSE)</f>
        <v>6</v>
      </c>
      <c r="G82" s="12"/>
      <c r="H82" s="576" t="s">
        <v>500</v>
      </c>
      <c r="I82" s="13">
        <f>VLOOKUP(H82,'Ordinal Ratings'!I$6:K$25,2,FALSE)</f>
        <v>6</v>
      </c>
      <c r="J82" s="12"/>
      <c r="K82" s="12">
        <v>1</v>
      </c>
      <c r="L82" s="153"/>
      <c r="M82" s="576" t="s">
        <v>499</v>
      </c>
      <c r="N82" s="13">
        <f>VLOOKUP(M82,'Ordinal Ratings'!E$6:G$15,2,FALSE)</f>
        <v>3</v>
      </c>
      <c r="O82" s="84"/>
      <c r="P82" s="577">
        <v>0.8</v>
      </c>
    </row>
    <row r="83" spans="1:16" s="82" customFormat="1">
      <c r="A83" s="13">
        <f t="shared" si="1"/>
        <v>39</v>
      </c>
      <c r="B83" s="578" t="s">
        <v>434</v>
      </c>
      <c r="C83" s="575" t="s">
        <v>436</v>
      </c>
      <c r="E83" s="576" t="s">
        <v>91</v>
      </c>
      <c r="F83" s="13">
        <f>VLOOKUP(E83,'Ordinal Ratings'!A$6:C$28,2,FALSE)</f>
        <v>8</v>
      </c>
      <c r="G83" s="12"/>
      <c r="H83" s="576" t="s">
        <v>510</v>
      </c>
      <c r="I83" s="13">
        <f>VLOOKUP(H83,'Ordinal Ratings'!I$6:K$25,2,FALSE)</f>
        <v>7</v>
      </c>
      <c r="J83" s="12"/>
      <c r="K83" s="12">
        <v>1</v>
      </c>
      <c r="L83" s="153"/>
      <c r="M83" s="576" t="s">
        <v>499</v>
      </c>
      <c r="N83" s="13">
        <f>VLOOKUP(M83,'Ordinal Ratings'!E$6:G$15,2,FALSE)</f>
        <v>3</v>
      </c>
      <c r="O83" s="84"/>
      <c r="P83" s="577">
        <v>0.75</v>
      </c>
    </row>
    <row r="84" spans="1:16" s="82" customFormat="1">
      <c r="A84" s="13">
        <f t="shared" si="1"/>
        <v>40</v>
      </c>
      <c r="B84" s="578" t="s">
        <v>437</v>
      </c>
      <c r="C84" s="575" t="s">
        <v>438</v>
      </c>
      <c r="E84" s="576" t="s">
        <v>91</v>
      </c>
      <c r="F84" s="13">
        <f>VLOOKUP(E84,'Ordinal Ratings'!A$6:C$28,2,FALSE)</f>
        <v>8</v>
      </c>
      <c r="G84" s="12"/>
      <c r="H84" s="576" t="s">
        <v>505</v>
      </c>
      <c r="I84" s="13">
        <f>VLOOKUP(H84,'Ordinal Ratings'!I$6:K$25,2,FALSE)</f>
        <v>9</v>
      </c>
      <c r="J84" s="12"/>
      <c r="K84" s="12">
        <v>1</v>
      </c>
      <c r="L84" s="153"/>
      <c r="M84" s="576" t="s">
        <v>499</v>
      </c>
      <c r="N84" s="13">
        <f>VLOOKUP(M84,'Ordinal Ratings'!E$6:G$15,2,FALSE)</f>
        <v>3</v>
      </c>
      <c r="O84" s="84"/>
      <c r="P84" s="577">
        <v>0.9</v>
      </c>
    </row>
    <row r="85" spans="1:16" s="82" customFormat="1">
      <c r="A85" s="13">
        <f t="shared" si="1"/>
        <v>41</v>
      </c>
      <c r="B85" s="578" t="s">
        <v>441</v>
      </c>
      <c r="C85" s="575" t="s">
        <v>442</v>
      </c>
      <c r="E85" s="576" t="s">
        <v>508</v>
      </c>
      <c r="F85" s="13">
        <f>VLOOKUP(E85,'Ordinal Ratings'!A$6:C$28,2,FALSE)</f>
        <v>7</v>
      </c>
      <c r="G85" s="12"/>
      <c r="H85" s="576" t="s">
        <v>510</v>
      </c>
      <c r="I85" s="13">
        <f>VLOOKUP(H85,'Ordinal Ratings'!I$6:K$25,2,FALSE)</f>
        <v>7</v>
      </c>
      <c r="J85" s="12"/>
      <c r="K85" s="12">
        <v>1</v>
      </c>
      <c r="L85" s="153"/>
      <c r="M85" s="576" t="s">
        <v>499</v>
      </c>
      <c r="N85" s="13">
        <f>VLOOKUP(M85,'Ordinal Ratings'!E$6:G$15,2,FALSE)</f>
        <v>3</v>
      </c>
      <c r="O85" s="84"/>
      <c r="P85" s="577">
        <v>0.9</v>
      </c>
    </row>
    <row r="86" spans="1:16" s="82" customFormat="1">
      <c r="A86" s="13">
        <f t="shared" si="1"/>
        <v>42</v>
      </c>
      <c r="B86" s="578" t="s">
        <v>1471</v>
      </c>
      <c r="C86" s="575" t="s">
        <v>1135</v>
      </c>
      <c r="E86" s="576" t="s">
        <v>502</v>
      </c>
      <c r="F86" s="13">
        <f>VLOOKUP(E86,'Ordinal Ratings'!A$6:C$28,2,FALSE)</f>
        <v>9</v>
      </c>
      <c r="G86" s="12"/>
      <c r="H86" s="576" t="s">
        <v>505</v>
      </c>
      <c r="I86" s="13">
        <f>VLOOKUP(H86,'Ordinal Ratings'!I$6:K$25,2,FALSE)</f>
        <v>9</v>
      </c>
      <c r="J86" s="12"/>
      <c r="K86" s="12">
        <v>1</v>
      </c>
      <c r="L86" s="153"/>
      <c r="M86" s="576" t="s">
        <v>499</v>
      </c>
      <c r="N86" s="13">
        <f>VLOOKUP(M86,'Ordinal Ratings'!E$6:G$15,2,FALSE)</f>
        <v>3</v>
      </c>
      <c r="O86" s="84"/>
      <c r="P86" s="577">
        <v>0.75</v>
      </c>
    </row>
    <row r="87" spans="1:16" s="82" customFormat="1">
      <c r="A87" s="13">
        <f t="shared" si="1"/>
        <v>43</v>
      </c>
      <c r="B87" s="578" t="s">
        <v>1373</v>
      </c>
      <c r="C87" s="575" t="s">
        <v>1179</v>
      </c>
      <c r="E87" s="576" t="s">
        <v>91</v>
      </c>
      <c r="F87" s="13">
        <f>VLOOKUP(E87,'Ordinal Ratings'!A$6:C$28,2,FALSE)</f>
        <v>8</v>
      </c>
      <c r="G87" s="12"/>
      <c r="H87" s="576" t="s">
        <v>90</v>
      </c>
      <c r="I87" s="13">
        <f>VLOOKUP(H87,'Ordinal Ratings'!I$6:K$25,2,FALSE)</f>
        <v>8</v>
      </c>
      <c r="J87" s="12"/>
      <c r="K87" s="12">
        <v>1</v>
      </c>
      <c r="L87" s="153"/>
      <c r="M87" s="576" t="s">
        <v>498</v>
      </c>
      <c r="N87" s="13">
        <f>VLOOKUP(M87,'Ordinal Ratings'!E$6:G$15,2,FALSE)</f>
        <v>2</v>
      </c>
      <c r="O87" s="84"/>
      <c r="P87" s="577">
        <v>0.65</v>
      </c>
    </row>
    <row r="88" spans="1:16" s="82" customFormat="1">
      <c r="A88" s="13">
        <f t="shared" si="1"/>
        <v>44</v>
      </c>
      <c r="B88" s="578" t="s">
        <v>445</v>
      </c>
      <c r="C88" s="575" t="s">
        <v>446</v>
      </c>
      <c r="E88" s="576" t="s">
        <v>512</v>
      </c>
      <c r="F88" s="13">
        <f>VLOOKUP(E88,'Ordinal Ratings'!A$6:C$28,2,FALSE)</f>
        <v>3</v>
      </c>
      <c r="G88" s="12"/>
      <c r="H88" s="576" t="s">
        <v>513</v>
      </c>
      <c r="I88" s="13">
        <f>VLOOKUP(H88,'Ordinal Ratings'!I$6:K$25,2,FALSE)</f>
        <v>3</v>
      </c>
      <c r="J88" s="12"/>
      <c r="K88" s="12">
        <v>1</v>
      </c>
      <c r="L88" s="153"/>
      <c r="M88" s="576" t="s">
        <v>501</v>
      </c>
      <c r="N88" s="13">
        <f>VLOOKUP(M88,'Ordinal Ratings'!E$6:G$15,2,FALSE)</f>
        <v>1</v>
      </c>
      <c r="O88" s="84"/>
      <c r="P88" s="577">
        <v>0.7</v>
      </c>
    </row>
    <row r="89" spans="1:16" s="82" customFormat="1" ht="15.75" customHeight="1">
      <c r="A89" s="13">
        <f t="shared" si="1"/>
        <v>45</v>
      </c>
      <c r="B89" s="578" t="s">
        <v>447</v>
      </c>
      <c r="C89" s="575" t="s">
        <v>448</v>
      </c>
      <c r="E89" s="576" t="s">
        <v>508</v>
      </c>
      <c r="F89" s="13">
        <f>VLOOKUP(E89,'Ordinal Ratings'!A$6:C$28,2,FALSE)</f>
        <v>7</v>
      </c>
      <c r="G89" s="12"/>
      <c r="H89" s="576" t="s">
        <v>510</v>
      </c>
      <c r="I89" s="13">
        <f>VLOOKUP(H89,'Ordinal Ratings'!I$6:K$25,2,FALSE)</f>
        <v>7</v>
      </c>
      <c r="J89" s="12"/>
      <c r="K89" s="12">
        <v>1</v>
      </c>
      <c r="L89" s="153"/>
      <c r="M89" s="576" t="s">
        <v>499</v>
      </c>
      <c r="N89" s="13">
        <f>VLOOKUP(M89,'Ordinal Ratings'!E$6:G$15,2,FALSE)</f>
        <v>3</v>
      </c>
      <c r="O89" s="84"/>
      <c r="P89" s="577">
        <v>0.75</v>
      </c>
    </row>
    <row r="90" spans="1:16" ht="3.5" customHeight="1"/>
    <row r="91" spans="1:16" s="82" customFormat="1" ht="15.75" customHeight="1" thickBot="1">
      <c r="A91" s="579"/>
      <c r="B91" s="149" t="s">
        <v>47</v>
      </c>
      <c r="C91" s="149"/>
      <c r="E91" s="580" t="str">
        <f>VLOOKUP(F91,'Ordinal Ratings'!$B$6:$C$26,2,FALSE)</f>
        <v>A</v>
      </c>
      <c r="F91" s="581">
        <f>ROUND(AVERAGE(F45:F89),0)</f>
        <v>6</v>
      </c>
      <c r="G91" s="86"/>
      <c r="H91" s="580" t="str">
        <f>VLOOKUP(I91,'Ordinal Ratings'!$J$6:$K$26,2,FALSE)</f>
        <v>A2</v>
      </c>
      <c r="I91" s="581">
        <f>ROUND(AVERAGE(I45:I89),0)</f>
        <v>6</v>
      </c>
      <c r="J91" s="86"/>
      <c r="K91" s="87">
        <f>AVERAGE(K45:K89)</f>
        <v>1</v>
      </c>
      <c r="L91" s="86"/>
      <c r="M91" s="582" t="str">
        <f>VLOOKUP(N91,'Ordinal Ratings'!$F$6:$G$26,2,FALSE)</f>
        <v>A+</v>
      </c>
      <c r="N91" s="581">
        <f>ROUND(AVERAGE(N45:N89),0)</f>
        <v>2</v>
      </c>
      <c r="O91" s="86"/>
      <c r="P91" s="88">
        <f>AVERAGE(P45:P89)</f>
        <v>0.73333333333333328</v>
      </c>
    </row>
    <row r="92" spans="1:16" s="82" customFormat="1">
      <c r="A92" s="583"/>
      <c r="B92" s="584"/>
      <c r="C92" s="151"/>
      <c r="D92" s="151"/>
      <c r="E92" s="11"/>
      <c r="F92" s="585"/>
      <c r="G92" s="585"/>
      <c r="H92" s="585"/>
      <c r="I92" s="585"/>
      <c r="J92" s="80"/>
      <c r="K92" s="586"/>
      <c r="L92" s="80"/>
      <c r="M92" s="81"/>
      <c r="N92" s="80"/>
      <c r="O92" s="80"/>
      <c r="P92" s="85"/>
    </row>
    <row r="93" spans="1:16" s="82" customFormat="1">
      <c r="A93" s="583"/>
      <c r="B93" s="584"/>
      <c r="C93" s="151"/>
      <c r="D93" s="151"/>
      <c r="E93" s="11"/>
      <c r="F93" s="585"/>
      <c r="G93" s="585"/>
      <c r="H93" s="585"/>
      <c r="I93" s="585"/>
      <c r="J93" s="80"/>
      <c r="K93" s="586"/>
      <c r="L93" s="80"/>
      <c r="M93" s="81"/>
      <c r="N93" s="80"/>
      <c r="O93" s="80"/>
      <c r="P93" s="85"/>
    </row>
    <row r="94" spans="1:16" s="107" customFormat="1" ht="13">
      <c r="A94" s="587" t="s">
        <v>21</v>
      </c>
      <c r="B94" s="163" t="s">
        <v>1474</v>
      </c>
      <c r="C94" s="536"/>
      <c r="D94" s="536"/>
      <c r="E94" s="588"/>
      <c r="F94" s="588"/>
      <c r="G94" s="589"/>
      <c r="H94" s="588"/>
      <c r="I94" s="588"/>
      <c r="J94" s="588"/>
      <c r="K94" s="588"/>
      <c r="L94" s="588"/>
      <c r="M94" s="105"/>
      <c r="N94" s="588"/>
      <c r="O94" s="588"/>
      <c r="P94" s="106"/>
    </row>
    <row r="95" spans="1:16" s="107" customFormat="1" ht="13">
      <c r="A95" s="587" t="s">
        <v>22</v>
      </c>
      <c r="B95" s="163" t="s">
        <v>1475</v>
      </c>
      <c r="C95" s="536"/>
      <c r="D95" s="536"/>
      <c r="E95" s="588"/>
      <c r="F95" s="588"/>
      <c r="G95" s="589"/>
      <c r="H95" s="588"/>
      <c r="I95" s="588"/>
      <c r="J95" s="588"/>
      <c r="K95" s="588"/>
      <c r="L95" s="588"/>
      <c r="M95" s="105"/>
      <c r="N95" s="588"/>
      <c r="O95" s="588"/>
      <c r="P95" s="106"/>
    </row>
    <row r="96" spans="1:16" s="107" customFormat="1" ht="13">
      <c r="A96" s="590" t="s">
        <v>23</v>
      </c>
      <c r="B96" s="163" t="s">
        <v>1473</v>
      </c>
      <c r="C96" s="591"/>
      <c r="D96" s="591"/>
      <c r="E96" s="591"/>
      <c r="F96" s="591"/>
      <c r="G96" s="591"/>
      <c r="H96" s="591"/>
      <c r="I96" s="591"/>
      <c r="J96" s="591"/>
      <c r="K96" s="591"/>
      <c r="L96" s="591"/>
      <c r="M96" s="591"/>
      <c r="N96" s="591"/>
      <c r="O96" s="591"/>
      <c r="P96" s="591"/>
    </row>
    <row r="97" spans="1:16" s="5" customFormat="1" ht="13">
      <c r="A97" s="590" t="s">
        <v>24</v>
      </c>
      <c r="B97" s="183" t="s">
        <v>1476</v>
      </c>
      <c r="F97" s="165"/>
      <c r="G97" s="165"/>
      <c r="H97" s="165"/>
      <c r="I97" s="165"/>
      <c r="J97" s="165"/>
      <c r="K97" s="165"/>
      <c r="L97" s="165"/>
      <c r="M97" s="165"/>
      <c r="N97" s="165"/>
      <c r="O97" s="165"/>
      <c r="P97" s="165"/>
    </row>
  </sheetData>
  <sortState xmlns:xlrd2="http://schemas.microsoft.com/office/spreadsheetml/2017/richdata2" ref="B45:V89">
    <sortCondition ref="B45:B89"/>
  </sortState>
  <mergeCells count="4">
    <mergeCell ref="K5:P5"/>
    <mergeCell ref="K42:P42"/>
    <mergeCell ref="K4:M4"/>
    <mergeCell ref="K41:M41"/>
  </mergeCells>
  <phoneticPr fontId="12" type="noConversion"/>
  <printOptions horizontalCentered="1"/>
  <pageMargins left="0.5" right="0.5" top="0.75" bottom="0.25" header="0" footer="0"/>
  <pageSetup scale="94" orientation="portrait" r:id="rId1"/>
  <headerFooter alignWithMargins="0"/>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3"/>
  <dimension ref="A1:AO37"/>
  <sheetViews>
    <sheetView zoomScaleNormal="100" workbookViewId="0"/>
  </sheetViews>
  <sheetFormatPr defaultColWidth="9.26953125" defaultRowHeight="15.5"/>
  <cols>
    <col min="1" max="1" width="3.54296875" style="1" customWidth="1"/>
    <col min="2" max="2" width="11.26953125" style="1" customWidth="1"/>
    <col min="3" max="6" width="9.26953125" style="1" bestFit="1" customWidth="1"/>
    <col min="7" max="7" width="9.453125" style="1" bestFit="1" customWidth="1"/>
    <col min="8" max="12" width="9.26953125" style="1" bestFit="1" customWidth="1"/>
    <col min="13" max="13" width="9.453125" style="1" bestFit="1" customWidth="1"/>
    <col min="14" max="14" width="9.453125" style="1" customWidth="1"/>
    <col min="15" max="15" width="9.26953125" style="1" bestFit="1" customWidth="1"/>
    <col min="16" max="17" width="10.26953125" style="1" bestFit="1" customWidth="1"/>
    <col min="18" max="19" width="9.26953125" style="1" bestFit="1" customWidth="1"/>
    <col min="20" max="20" width="10.26953125" style="1" bestFit="1" customWidth="1"/>
    <col min="21" max="26" width="9.26953125" style="1" bestFit="1" customWidth="1"/>
    <col min="27" max="27" width="10.26953125" style="1" bestFit="1" customWidth="1"/>
    <col min="28" max="36" width="9.26953125" style="1" bestFit="1" customWidth="1"/>
    <col min="37" max="41" width="9.26953125" style="1" customWidth="1"/>
    <col min="42" max="16384" width="9.26953125" style="1"/>
  </cols>
  <sheetData>
    <row r="1" spans="1:41" s="12" customFormat="1">
      <c r="B1" s="564"/>
      <c r="C1" s="12">
        <v>1</v>
      </c>
      <c r="D1" s="12">
        <v>2</v>
      </c>
      <c r="E1" s="12">
        <v>3</v>
      </c>
      <c r="F1" s="12">
        <v>4</v>
      </c>
      <c r="G1" s="12">
        <v>5</v>
      </c>
      <c r="H1" s="12">
        <v>6</v>
      </c>
      <c r="I1" s="12">
        <v>7</v>
      </c>
      <c r="J1" s="12">
        <v>8</v>
      </c>
      <c r="K1" s="12">
        <v>9</v>
      </c>
      <c r="L1" s="12">
        <v>10</v>
      </c>
      <c r="M1" s="12">
        <v>11</v>
      </c>
      <c r="N1" s="12">
        <v>12</v>
      </c>
      <c r="O1" s="12">
        <v>13</v>
      </c>
      <c r="P1" s="12">
        <v>14</v>
      </c>
      <c r="Q1" s="12">
        <v>15</v>
      </c>
      <c r="R1" s="12">
        <v>16</v>
      </c>
      <c r="S1" s="12">
        <v>17</v>
      </c>
      <c r="T1" s="12">
        <v>18</v>
      </c>
      <c r="U1" s="12">
        <v>19</v>
      </c>
      <c r="V1" s="12">
        <v>20</v>
      </c>
      <c r="W1" s="12">
        <v>21</v>
      </c>
      <c r="X1" s="12">
        <v>22</v>
      </c>
      <c r="Y1" s="12">
        <v>23</v>
      </c>
      <c r="Z1" s="12">
        <v>24</v>
      </c>
      <c r="AA1" s="12">
        <v>25</v>
      </c>
      <c r="AB1" s="12">
        <v>26</v>
      </c>
      <c r="AC1" s="12">
        <v>27</v>
      </c>
      <c r="AD1" s="12">
        <v>28</v>
      </c>
      <c r="AE1" s="12">
        <v>29</v>
      </c>
      <c r="AF1" s="12">
        <v>30</v>
      </c>
      <c r="AG1" s="12">
        <v>31</v>
      </c>
      <c r="AH1" s="12">
        <v>32</v>
      </c>
      <c r="AI1" s="12">
        <v>33</v>
      </c>
      <c r="AJ1" s="12">
        <v>34</v>
      </c>
      <c r="AK1" s="12">
        <v>35</v>
      </c>
      <c r="AL1" s="12">
        <v>36</v>
      </c>
      <c r="AM1" s="12">
        <v>37</v>
      </c>
      <c r="AN1" s="12">
        <v>38</v>
      </c>
      <c r="AO1" s="12">
        <v>39</v>
      </c>
    </row>
    <row r="2" spans="1:41">
      <c r="A2" s="113"/>
      <c r="B2" s="62" t="s">
        <v>514</v>
      </c>
      <c r="C2" s="113" t="str">
        <f t="array" ref="C2:AO2">TRANSPOSE('Electric Utility Data'!B8:B43)</f>
        <v>ALE</v>
      </c>
      <c r="D2" s="113" t="str">
        <v>LNT</v>
      </c>
      <c r="E2" s="113" t="str">
        <v>AEE</v>
      </c>
      <c r="F2" s="113" t="str">
        <v>AEP</v>
      </c>
      <c r="G2" s="113" t="str">
        <v>AVA</v>
      </c>
      <c r="H2" s="113" t="str">
        <v>BKH</v>
      </c>
      <c r="I2" s="113" t="str">
        <v>CNP</v>
      </c>
      <c r="J2" s="113" t="str">
        <v>CMS</v>
      </c>
      <c r="K2" s="113" t="str">
        <v>ED</v>
      </c>
      <c r="L2" s="113" t="str">
        <v>D</v>
      </c>
      <c r="M2" s="113" t="str">
        <v>DTE</v>
      </c>
      <c r="N2" s="113" t="str">
        <v>DUK</v>
      </c>
      <c r="O2" s="113" t="str">
        <v>EIX</v>
      </c>
      <c r="P2" s="113" t="str">
        <v>ETR</v>
      </c>
      <c r="Q2" s="113" t="str">
        <v>EVRG</v>
      </c>
      <c r="R2" s="113" t="str">
        <v>ES</v>
      </c>
      <c r="S2" s="113" t="str">
        <v>EXC</v>
      </c>
      <c r="T2" s="113" t="str">
        <v>FE</v>
      </c>
      <c r="U2" s="113" t="str">
        <v>FTS</v>
      </c>
      <c r="V2" s="113" t="str">
        <v>HE</v>
      </c>
      <c r="W2" s="113" t="str">
        <v>IDA</v>
      </c>
      <c r="X2" s="113" t="str">
        <v>MGEE</v>
      </c>
      <c r="Y2" s="113" t="str">
        <v>NEE</v>
      </c>
      <c r="Z2" s="113" t="str">
        <v>NWE</v>
      </c>
      <c r="AA2" s="113" t="str">
        <v>OGE</v>
      </c>
      <c r="AB2" s="113" t="str">
        <v>OTTR</v>
      </c>
      <c r="AC2" s="113" t="str">
        <v>PCG</v>
      </c>
      <c r="AD2" s="113" t="str">
        <v>PNW</v>
      </c>
      <c r="AE2" s="113" t="str">
        <v>POR</v>
      </c>
      <c r="AF2" s="113" t="str">
        <v>PPL</v>
      </c>
      <c r="AG2" s="113" t="str">
        <v>PEG</v>
      </c>
      <c r="AH2" s="113" t="str">
        <v>SRE</v>
      </c>
      <c r="AI2" s="113" t="str">
        <v>SO</v>
      </c>
      <c r="AJ2" s="113" t="str">
        <v>TXNM</v>
      </c>
      <c r="AK2" s="113" t="str">
        <v>WEC</v>
      </c>
      <c r="AL2" s="113" t="str">
        <v>XEL</v>
      </c>
      <c r="AM2" s="113" t="e">
        <v>#N/A</v>
      </c>
      <c r="AN2" s="113" t="e">
        <v>#N/A</v>
      </c>
      <c r="AO2" s="113" t="e">
        <v>#N/A</v>
      </c>
    </row>
    <row r="3" spans="1:41">
      <c r="A3" s="19">
        <f t="shared" ref="A3:A32" si="0">A2+1</f>
        <v>1</v>
      </c>
      <c r="B3" s="559">
        <v>45796</v>
      </c>
      <c r="C3" s="565">
        <v>65.150000000000006</v>
      </c>
      <c r="D3" s="166">
        <v>63.09</v>
      </c>
      <c r="E3" s="166">
        <v>98.97</v>
      </c>
      <c r="F3" s="166">
        <v>103.78</v>
      </c>
      <c r="G3" s="166">
        <v>39.130000000000003</v>
      </c>
      <c r="H3" s="166">
        <v>58.93</v>
      </c>
      <c r="I3" s="166">
        <v>37.659999999999997</v>
      </c>
      <c r="J3" s="166">
        <v>71.97</v>
      </c>
      <c r="K3" s="166">
        <v>105.38</v>
      </c>
      <c r="L3" s="166">
        <v>56.2</v>
      </c>
      <c r="M3" s="166">
        <v>138.57</v>
      </c>
      <c r="N3" s="166">
        <v>116.99</v>
      </c>
      <c r="O3" s="166">
        <v>58</v>
      </c>
      <c r="P3" s="166">
        <v>83.01</v>
      </c>
      <c r="Q3" s="166">
        <v>67.12</v>
      </c>
      <c r="R3" s="166">
        <v>63.53</v>
      </c>
      <c r="S3" s="166">
        <v>44.39</v>
      </c>
      <c r="T3" s="166">
        <v>42.85</v>
      </c>
      <c r="U3" s="166">
        <v>65.900000000000006</v>
      </c>
      <c r="V3" s="166">
        <v>10.69</v>
      </c>
      <c r="W3" s="166">
        <v>117.31</v>
      </c>
      <c r="X3" s="166">
        <v>93.48</v>
      </c>
      <c r="Y3" s="166">
        <v>73.86</v>
      </c>
      <c r="Z3" s="166">
        <v>56.52</v>
      </c>
      <c r="AA3" s="166">
        <v>44.64</v>
      </c>
      <c r="AB3" s="166">
        <v>79.77</v>
      </c>
      <c r="AC3" s="166">
        <v>17.739999999999998</v>
      </c>
      <c r="AD3" s="166">
        <v>92.48</v>
      </c>
      <c r="AE3" s="166">
        <v>42.72</v>
      </c>
      <c r="AF3" s="166">
        <v>35.020000000000003</v>
      </c>
      <c r="AG3" s="166">
        <v>79.77</v>
      </c>
      <c r="AH3" s="166">
        <v>78.430000000000007</v>
      </c>
      <c r="AI3" s="566">
        <v>89.48</v>
      </c>
      <c r="AJ3" s="166">
        <v>56.57</v>
      </c>
      <c r="AK3" s="166">
        <v>107.26</v>
      </c>
      <c r="AL3" s="166">
        <v>72.209999999999994</v>
      </c>
      <c r="AM3" s="166"/>
      <c r="AN3" s="166"/>
      <c r="AO3" s="166"/>
    </row>
    <row r="4" spans="1:41">
      <c r="A4" s="19">
        <f t="shared" si="0"/>
        <v>2</v>
      </c>
      <c r="B4" s="559">
        <v>45793</v>
      </c>
      <c r="C4" s="565">
        <v>65.13</v>
      </c>
      <c r="D4" s="166">
        <v>62.48</v>
      </c>
      <c r="E4" s="166">
        <v>98.02</v>
      </c>
      <c r="F4" s="166">
        <v>103.04</v>
      </c>
      <c r="G4" s="166">
        <v>38.950000000000003</v>
      </c>
      <c r="H4" s="166">
        <v>58.49</v>
      </c>
      <c r="I4" s="166">
        <v>37.520000000000003</v>
      </c>
      <c r="J4" s="166">
        <v>71.47</v>
      </c>
      <c r="K4" s="166">
        <v>104.29</v>
      </c>
      <c r="L4" s="166">
        <v>55.77</v>
      </c>
      <c r="M4" s="166">
        <v>138.07</v>
      </c>
      <c r="N4" s="166">
        <v>116.26</v>
      </c>
      <c r="O4" s="166">
        <v>58.63</v>
      </c>
      <c r="P4" s="166">
        <v>83.14</v>
      </c>
      <c r="Q4" s="166">
        <v>66.930000000000007</v>
      </c>
      <c r="R4" s="166">
        <v>63.2</v>
      </c>
      <c r="S4" s="166">
        <v>44.09</v>
      </c>
      <c r="T4" s="166">
        <v>42.68</v>
      </c>
      <c r="U4" s="166">
        <v>66.03</v>
      </c>
      <c r="V4" s="166">
        <v>10.62</v>
      </c>
      <c r="W4" s="166">
        <v>115.51</v>
      </c>
      <c r="X4" s="166">
        <v>92.6</v>
      </c>
      <c r="Y4" s="166">
        <v>75</v>
      </c>
      <c r="Z4" s="166">
        <v>56.09</v>
      </c>
      <c r="AA4" s="166">
        <v>44.36</v>
      </c>
      <c r="AB4" s="166">
        <v>79.900000000000006</v>
      </c>
      <c r="AC4" s="166">
        <v>17.87</v>
      </c>
      <c r="AD4" s="166">
        <v>91.74</v>
      </c>
      <c r="AE4" s="166">
        <v>42.69</v>
      </c>
      <c r="AF4" s="166">
        <v>34.86</v>
      </c>
      <c r="AG4" s="166">
        <v>79.290000000000006</v>
      </c>
      <c r="AH4" s="166">
        <v>77.61</v>
      </c>
      <c r="AI4" s="566">
        <v>88.71</v>
      </c>
      <c r="AJ4" s="166">
        <v>52.88</v>
      </c>
      <c r="AK4" s="166">
        <v>106.47</v>
      </c>
      <c r="AL4" s="166">
        <v>72.38</v>
      </c>
      <c r="AM4" s="166"/>
      <c r="AN4" s="166"/>
      <c r="AO4" s="166"/>
    </row>
    <row r="5" spans="1:41">
      <c r="A5" s="19">
        <f t="shared" si="0"/>
        <v>3</v>
      </c>
      <c r="B5" s="559">
        <v>45792</v>
      </c>
      <c r="C5" s="565">
        <v>65.08</v>
      </c>
      <c r="D5" s="166">
        <v>61.71</v>
      </c>
      <c r="E5" s="166">
        <v>96.82</v>
      </c>
      <c r="F5" s="166">
        <v>101.61</v>
      </c>
      <c r="G5" s="166">
        <v>38.36</v>
      </c>
      <c r="H5" s="166">
        <v>58.67</v>
      </c>
      <c r="I5" s="166">
        <v>37.229999999999997</v>
      </c>
      <c r="J5" s="166">
        <v>70.900000000000006</v>
      </c>
      <c r="K5" s="166">
        <v>102.01</v>
      </c>
      <c r="L5" s="166">
        <v>55.04</v>
      </c>
      <c r="M5" s="166">
        <v>136.30000000000001</v>
      </c>
      <c r="N5" s="166">
        <v>115.94</v>
      </c>
      <c r="O5" s="166">
        <v>57.6</v>
      </c>
      <c r="P5" s="166">
        <v>81.819999999999993</v>
      </c>
      <c r="Q5" s="166">
        <v>65.7</v>
      </c>
      <c r="R5" s="166">
        <v>62.38</v>
      </c>
      <c r="S5" s="166">
        <v>43.43</v>
      </c>
      <c r="T5" s="166">
        <v>42.44</v>
      </c>
      <c r="U5" s="166">
        <v>64.94</v>
      </c>
      <c r="V5" s="166">
        <v>10.59</v>
      </c>
      <c r="W5" s="166">
        <v>114.3</v>
      </c>
      <c r="X5" s="166">
        <v>91.63</v>
      </c>
      <c r="Y5" s="166">
        <v>74.55</v>
      </c>
      <c r="Z5" s="166">
        <v>55.44</v>
      </c>
      <c r="AA5" s="166">
        <v>43.92</v>
      </c>
      <c r="AB5" s="166">
        <v>78.63</v>
      </c>
      <c r="AC5" s="166">
        <v>17.34</v>
      </c>
      <c r="AD5" s="166">
        <v>90.52</v>
      </c>
      <c r="AE5" s="166">
        <v>42.2</v>
      </c>
      <c r="AF5" s="166">
        <v>34.42</v>
      </c>
      <c r="AG5" s="166">
        <v>78.44</v>
      </c>
      <c r="AH5" s="166">
        <v>76.47</v>
      </c>
      <c r="AI5" s="566">
        <v>87.38</v>
      </c>
      <c r="AJ5" s="166">
        <v>53.27</v>
      </c>
      <c r="AK5" s="166">
        <v>104.91</v>
      </c>
      <c r="AL5" s="166">
        <v>71.260000000000005</v>
      </c>
      <c r="AM5" s="166"/>
      <c r="AN5" s="166"/>
      <c r="AO5" s="166"/>
    </row>
    <row r="6" spans="1:41">
      <c r="A6" s="19">
        <f t="shared" si="0"/>
        <v>4</v>
      </c>
      <c r="B6" s="559">
        <v>45791</v>
      </c>
      <c r="C6" s="565">
        <v>65.709999999999994</v>
      </c>
      <c r="D6" s="166">
        <v>60.47</v>
      </c>
      <c r="E6" s="166">
        <v>95.01</v>
      </c>
      <c r="F6" s="166">
        <v>98.59</v>
      </c>
      <c r="G6" s="166">
        <v>37.47</v>
      </c>
      <c r="H6" s="166">
        <v>57.29</v>
      </c>
      <c r="I6" s="166">
        <v>36.57</v>
      </c>
      <c r="J6" s="166">
        <v>68.790000000000006</v>
      </c>
      <c r="K6" s="166">
        <v>99.27</v>
      </c>
      <c r="L6" s="166">
        <v>54</v>
      </c>
      <c r="M6" s="166">
        <v>132.69</v>
      </c>
      <c r="N6" s="166">
        <v>112.46</v>
      </c>
      <c r="O6" s="166">
        <v>56.38</v>
      </c>
      <c r="P6" s="166">
        <v>80.510000000000005</v>
      </c>
      <c r="Q6" s="166">
        <v>64.06</v>
      </c>
      <c r="R6" s="166">
        <v>61.35</v>
      </c>
      <c r="S6" s="166">
        <v>42.25</v>
      </c>
      <c r="T6" s="166">
        <v>41.14</v>
      </c>
      <c r="U6" s="166">
        <v>64.89</v>
      </c>
      <c r="V6" s="166">
        <v>10.33</v>
      </c>
      <c r="W6" s="166">
        <v>111.01</v>
      </c>
      <c r="X6" s="166">
        <v>89.71</v>
      </c>
      <c r="Y6" s="166">
        <v>72.19</v>
      </c>
      <c r="Z6" s="166">
        <v>54.19</v>
      </c>
      <c r="AA6" s="166">
        <v>42.85</v>
      </c>
      <c r="AB6" s="166">
        <v>77.42</v>
      </c>
      <c r="AC6" s="166">
        <v>17.03</v>
      </c>
      <c r="AD6" s="166">
        <v>88.3</v>
      </c>
      <c r="AE6" s="166">
        <v>40.94</v>
      </c>
      <c r="AF6" s="166">
        <v>33.520000000000003</v>
      </c>
      <c r="AG6" s="166">
        <v>77.290000000000006</v>
      </c>
      <c r="AH6" s="166">
        <v>74.86</v>
      </c>
      <c r="AI6" s="566">
        <v>84.91</v>
      </c>
      <c r="AJ6" s="166">
        <v>53.09</v>
      </c>
      <c r="AK6" s="166">
        <v>102.24</v>
      </c>
      <c r="AL6" s="166">
        <v>68.8</v>
      </c>
      <c r="AM6" s="166"/>
      <c r="AN6" s="166"/>
      <c r="AO6" s="166"/>
    </row>
    <row r="7" spans="1:41">
      <c r="A7" s="19">
        <f t="shared" si="0"/>
        <v>5</v>
      </c>
      <c r="B7" s="559">
        <v>45790</v>
      </c>
      <c r="C7" s="565">
        <v>65.7</v>
      </c>
      <c r="D7" s="166">
        <v>60.46</v>
      </c>
      <c r="E7" s="166">
        <v>94.32</v>
      </c>
      <c r="F7" s="166">
        <v>99.56</v>
      </c>
      <c r="G7" s="166">
        <v>37.93</v>
      </c>
      <c r="H7" s="166">
        <v>57.76</v>
      </c>
      <c r="I7" s="166">
        <v>36.659999999999997</v>
      </c>
      <c r="J7" s="166">
        <v>69.239999999999995</v>
      </c>
      <c r="K7" s="166">
        <v>100.58</v>
      </c>
      <c r="L7" s="166">
        <v>53.81</v>
      </c>
      <c r="M7" s="166">
        <v>132.84</v>
      </c>
      <c r="N7" s="166">
        <v>113.07</v>
      </c>
      <c r="O7" s="166">
        <v>56.18</v>
      </c>
      <c r="P7" s="166">
        <v>80.89</v>
      </c>
      <c r="Q7" s="166">
        <v>64.760000000000005</v>
      </c>
      <c r="R7" s="166">
        <v>62.91</v>
      </c>
      <c r="S7" s="166">
        <v>42.97</v>
      </c>
      <c r="T7" s="166">
        <v>41.23</v>
      </c>
      <c r="U7" s="166">
        <v>65.37</v>
      </c>
      <c r="V7" s="166">
        <v>10.93</v>
      </c>
      <c r="W7" s="166">
        <v>111.01</v>
      </c>
      <c r="X7" s="166">
        <v>90.15</v>
      </c>
      <c r="Y7" s="166">
        <v>72.11</v>
      </c>
      <c r="Z7" s="166">
        <v>54.69</v>
      </c>
      <c r="AA7" s="166">
        <v>43.06</v>
      </c>
      <c r="AB7" s="166">
        <v>78.59</v>
      </c>
      <c r="AC7" s="166">
        <v>16.96</v>
      </c>
      <c r="AD7" s="166">
        <v>89.08</v>
      </c>
      <c r="AE7" s="166">
        <v>41.5</v>
      </c>
      <c r="AF7" s="166">
        <v>33.79</v>
      </c>
      <c r="AG7" s="166">
        <v>77.59</v>
      </c>
      <c r="AH7" s="166">
        <v>75.13</v>
      </c>
      <c r="AI7" s="566">
        <v>85.57</v>
      </c>
      <c r="AJ7" s="166">
        <v>53.2</v>
      </c>
      <c r="AK7" s="166">
        <v>103.56</v>
      </c>
      <c r="AL7" s="166">
        <v>68.31</v>
      </c>
      <c r="AM7" s="166"/>
      <c r="AN7" s="166"/>
      <c r="AO7" s="166"/>
    </row>
    <row r="8" spans="1:41">
      <c r="A8" s="19">
        <f t="shared" si="0"/>
        <v>6</v>
      </c>
      <c r="B8" s="559">
        <v>45789</v>
      </c>
      <c r="C8" s="565">
        <v>65.58</v>
      </c>
      <c r="D8" s="166">
        <v>59.52</v>
      </c>
      <c r="E8" s="166">
        <v>95.42</v>
      </c>
      <c r="F8" s="166">
        <v>100.99</v>
      </c>
      <c r="G8" s="166">
        <v>39.24</v>
      </c>
      <c r="H8" s="166">
        <v>58.07</v>
      </c>
      <c r="I8" s="166">
        <v>36.85</v>
      </c>
      <c r="J8" s="166">
        <v>70.08</v>
      </c>
      <c r="K8" s="166">
        <v>103.54</v>
      </c>
      <c r="L8" s="166">
        <v>54.85</v>
      </c>
      <c r="M8" s="166">
        <v>133.1</v>
      </c>
      <c r="N8" s="166">
        <v>115.85</v>
      </c>
      <c r="O8" s="166">
        <v>56.56</v>
      </c>
      <c r="P8" s="166">
        <v>81.27</v>
      </c>
      <c r="Q8" s="166">
        <v>65.349999999999994</v>
      </c>
      <c r="R8" s="166">
        <v>62.25</v>
      </c>
      <c r="S8" s="166">
        <v>43.61</v>
      </c>
      <c r="T8" s="166">
        <v>41.72</v>
      </c>
      <c r="U8" s="166">
        <v>66.91</v>
      </c>
      <c r="V8" s="166">
        <v>10.69</v>
      </c>
      <c r="W8" s="166">
        <v>112.2</v>
      </c>
      <c r="X8" s="166">
        <v>90.3</v>
      </c>
      <c r="Y8" s="166">
        <v>69.69</v>
      </c>
      <c r="Z8" s="166">
        <v>55.74</v>
      </c>
      <c r="AA8" s="166">
        <v>43.56</v>
      </c>
      <c r="AB8" s="166">
        <v>78.28</v>
      </c>
      <c r="AC8" s="166">
        <v>17.22</v>
      </c>
      <c r="AD8" s="166">
        <v>90.07</v>
      </c>
      <c r="AE8" s="166">
        <v>42.62</v>
      </c>
      <c r="AF8" s="166">
        <v>34.57</v>
      </c>
      <c r="AG8" s="166">
        <v>79.010000000000005</v>
      </c>
      <c r="AH8" s="166">
        <v>75.67</v>
      </c>
      <c r="AI8" s="566">
        <v>87.78</v>
      </c>
      <c r="AJ8" s="166">
        <v>53</v>
      </c>
      <c r="AK8" s="166">
        <v>104.97</v>
      </c>
      <c r="AL8" s="166">
        <v>67.78</v>
      </c>
      <c r="AM8" s="166"/>
      <c r="AN8" s="166"/>
      <c r="AO8" s="166"/>
    </row>
    <row r="9" spans="1:41">
      <c r="A9" s="19">
        <f t="shared" si="0"/>
        <v>7</v>
      </c>
      <c r="B9" s="559">
        <v>45786</v>
      </c>
      <c r="C9" s="565">
        <v>65.45</v>
      </c>
      <c r="D9" s="166">
        <v>61.76</v>
      </c>
      <c r="E9" s="166">
        <v>97.4</v>
      </c>
      <c r="F9" s="166">
        <v>104.68</v>
      </c>
      <c r="G9" s="166">
        <v>40</v>
      </c>
      <c r="H9" s="166">
        <v>58.52</v>
      </c>
      <c r="I9" s="166">
        <v>37.54</v>
      </c>
      <c r="J9" s="166">
        <v>72.28</v>
      </c>
      <c r="K9" s="166">
        <v>107.68</v>
      </c>
      <c r="L9" s="166">
        <v>55.09</v>
      </c>
      <c r="M9" s="166">
        <v>136.12</v>
      </c>
      <c r="N9" s="166">
        <v>120.33</v>
      </c>
      <c r="O9" s="166">
        <v>56.19</v>
      </c>
      <c r="P9" s="166">
        <v>82.92</v>
      </c>
      <c r="Q9" s="166">
        <v>66.59</v>
      </c>
      <c r="R9" s="166">
        <v>63</v>
      </c>
      <c r="S9" s="166">
        <v>45.21</v>
      </c>
      <c r="T9" s="166">
        <v>42.51</v>
      </c>
      <c r="U9" s="166">
        <v>67.52</v>
      </c>
      <c r="V9" s="166">
        <v>10.49</v>
      </c>
      <c r="W9" s="166">
        <v>114.97</v>
      </c>
      <c r="X9" s="166">
        <v>91.08</v>
      </c>
      <c r="Y9" s="166">
        <v>70.31</v>
      </c>
      <c r="Z9" s="166">
        <v>56.16</v>
      </c>
      <c r="AA9" s="166">
        <v>44.38</v>
      </c>
      <c r="AB9" s="166">
        <v>76.959999999999994</v>
      </c>
      <c r="AC9" s="166">
        <v>17.13</v>
      </c>
      <c r="AD9" s="166">
        <v>91.61</v>
      </c>
      <c r="AE9" s="166">
        <v>42.44</v>
      </c>
      <c r="AF9" s="166">
        <v>35.51</v>
      </c>
      <c r="AG9" s="166">
        <v>78.94</v>
      </c>
      <c r="AH9" s="166">
        <v>75.42</v>
      </c>
      <c r="AI9" s="566">
        <v>90.35</v>
      </c>
      <c r="AJ9" s="166">
        <v>52.89</v>
      </c>
      <c r="AK9" s="166">
        <v>107.62</v>
      </c>
      <c r="AL9" s="166">
        <v>70.61</v>
      </c>
      <c r="AM9" s="166"/>
      <c r="AN9" s="166"/>
      <c r="AO9" s="166"/>
    </row>
    <row r="10" spans="1:41">
      <c r="A10" s="19">
        <f t="shared" si="0"/>
        <v>8</v>
      </c>
      <c r="B10" s="559">
        <v>45785</v>
      </c>
      <c r="C10" s="565">
        <v>65.489999999999995</v>
      </c>
      <c r="D10" s="166">
        <v>61.11</v>
      </c>
      <c r="E10" s="166">
        <v>97.68</v>
      </c>
      <c r="F10" s="166">
        <v>105.19</v>
      </c>
      <c r="G10" s="166">
        <v>40.5</v>
      </c>
      <c r="H10" s="166">
        <v>58.87</v>
      </c>
      <c r="I10" s="166">
        <v>37.950000000000003</v>
      </c>
      <c r="J10" s="166">
        <v>72.599999999999994</v>
      </c>
      <c r="K10" s="166">
        <v>107.75</v>
      </c>
      <c r="L10" s="166">
        <v>55</v>
      </c>
      <c r="M10" s="166">
        <v>135.71</v>
      </c>
      <c r="N10" s="166">
        <v>120</v>
      </c>
      <c r="O10" s="166">
        <v>56.13</v>
      </c>
      <c r="P10" s="166">
        <v>83.31</v>
      </c>
      <c r="Q10" s="166">
        <v>66.56</v>
      </c>
      <c r="R10" s="166">
        <v>62.71</v>
      </c>
      <c r="S10" s="166">
        <v>45.1</v>
      </c>
      <c r="T10" s="166">
        <v>42.49</v>
      </c>
      <c r="U10" s="166">
        <v>68.84</v>
      </c>
      <c r="V10" s="166">
        <v>10.42</v>
      </c>
      <c r="W10" s="166">
        <v>113.68</v>
      </c>
      <c r="X10" s="166">
        <v>90.31</v>
      </c>
      <c r="Y10" s="166">
        <v>68.319999999999993</v>
      </c>
      <c r="Z10" s="166">
        <v>57.04</v>
      </c>
      <c r="AA10" s="166">
        <v>44.34</v>
      </c>
      <c r="AB10" s="166">
        <v>76.69</v>
      </c>
      <c r="AC10" s="166">
        <v>17.18</v>
      </c>
      <c r="AD10" s="166">
        <v>92.01</v>
      </c>
      <c r="AE10" s="166">
        <v>42.33</v>
      </c>
      <c r="AF10" s="166">
        <v>35.619999999999997</v>
      </c>
      <c r="AG10" s="166">
        <v>79.48</v>
      </c>
      <c r="AH10" s="166">
        <v>75.77</v>
      </c>
      <c r="AI10" s="566">
        <v>90.31</v>
      </c>
      <c r="AJ10" s="166">
        <v>52.67</v>
      </c>
      <c r="AK10" s="166">
        <v>107.96</v>
      </c>
      <c r="AL10" s="166">
        <v>70.17</v>
      </c>
      <c r="AM10" s="166"/>
      <c r="AN10" s="166"/>
      <c r="AO10" s="166"/>
    </row>
    <row r="11" spans="1:41">
      <c r="A11" s="19">
        <f t="shared" si="0"/>
        <v>9</v>
      </c>
      <c r="B11" s="559">
        <v>45784</v>
      </c>
      <c r="C11" s="565">
        <v>65.67</v>
      </c>
      <c r="D11" s="166">
        <v>61.8</v>
      </c>
      <c r="E11" s="166">
        <v>99.54</v>
      </c>
      <c r="F11" s="166">
        <v>107.48</v>
      </c>
      <c r="G11" s="166">
        <v>41</v>
      </c>
      <c r="H11" s="166">
        <v>61.75</v>
      </c>
      <c r="I11" s="166">
        <v>39.049999999999997</v>
      </c>
      <c r="J11" s="166">
        <v>73.95</v>
      </c>
      <c r="K11" s="166">
        <v>111.04</v>
      </c>
      <c r="L11" s="166">
        <v>55.15</v>
      </c>
      <c r="M11" s="166">
        <v>138.61000000000001</v>
      </c>
      <c r="N11" s="166">
        <v>122.6</v>
      </c>
      <c r="O11" s="166">
        <v>55.75</v>
      </c>
      <c r="P11" s="166">
        <v>84.24</v>
      </c>
      <c r="Q11" s="166">
        <v>69.64</v>
      </c>
      <c r="R11" s="166">
        <v>62.24</v>
      </c>
      <c r="S11" s="166">
        <v>46.34</v>
      </c>
      <c r="T11" s="166">
        <v>42.95</v>
      </c>
      <c r="U11" s="166">
        <v>67.53</v>
      </c>
      <c r="V11" s="166">
        <v>10.39</v>
      </c>
      <c r="W11" s="166">
        <v>116.33</v>
      </c>
      <c r="X11" s="166">
        <v>92.13</v>
      </c>
      <c r="Y11" s="166">
        <v>67.36</v>
      </c>
      <c r="Z11" s="166">
        <v>57.66</v>
      </c>
      <c r="AA11" s="166">
        <v>45.2</v>
      </c>
      <c r="AB11" s="166">
        <v>76.36</v>
      </c>
      <c r="AC11" s="166">
        <v>17.2</v>
      </c>
      <c r="AD11" s="166">
        <v>93.81</v>
      </c>
      <c r="AE11" s="166">
        <v>42.58</v>
      </c>
      <c r="AF11" s="166">
        <v>36.33</v>
      </c>
      <c r="AG11" s="166">
        <v>79.790000000000006</v>
      </c>
      <c r="AH11" s="166">
        <v>75.86</v>
      </c>
      <c r="AI11" s="566">
        <v>92.11</v>
      </c>
      <c r="AJ11" s="166">
        <v>52.93</v>
      </c>
      <c r="AK11" s="166">
        <v>109.62</v>
      </c>
      <c r="AL11" s="166">
        <v>71.36</v>
      </c>
      <c r="AM11" s="166"/>
      <c r="AN11" s="166"/>
      <c r="AO11" s="166"/>
    </row>
    <row r="12" spans="1:41">
      <c r="A12" s="19">
        <f t="shared" si="0"/>
        <v>10</v>
      </c>
      <c r="B12" s="559">
        <v>45783</v>
      </c>
      <c r="C12" s="565">
        <v>65.489999999999995</v>
      </c>
      <c r="D12" s="166">
        <v>61.11</v>
      </c>
      <c r="E12" s="166">
        <v>99.46</v>
      </c>
      <c r="F12" s="166">
        <v>107.44</v>
      </c>
      <c r="G12" s="166">
        <v>41.8</v>
      </c>
      <c r="H12" s="166">
        <v>61.5</v>
      </c>
      <c r="I12" s="166">
        <v>38.92</v>
      </c>
      <c r="J12" s="166">
        <v>73.37</v>
      </c>
      <c r="K12" s="166">
        <v>110.47</v>
      </c>
      <c r="L12" s="166">
        <v>54.68</v>
      </c>
      <c r="M12" s="166">
        <v>137.66</v>
      </c>
      <c r="N12" s="166">
        <v>122.94</v>
      </c>
      <c r="O12" s="166">
        <v>54.83</v>
      </c>
      <c r="P12" s="166">
        <v>83.92</v>
      </c>
      <c r="Q12" s="166">
        <v>69.25</v>
      </c>
      <c r="R12" s="166">
        <v>59.21</v>
      </c>
      <c r="S12" s="166">
        <v>46.29</v>
      </c>
      <c r="T12" s="166">
        <v>43.17</v>
      </c>
      <c r="U12" s="166">
        <v>67.319999999999993</v>
      </c>
      <c r="V12" s="166">
        <v>10.34</v>
      </c>
      <c r="W12" s="166">
        <v>116.67</v>
      </c>
      <c r="X12" s="166">
        <v>91.45</v>
      </c>
      <c r="Y12" s="166">
        <v>66.540000000000006</v>
      </c>
      <c r="Z12" s="166">
        <v>58.06</v>
      </c>
      <c r="AA12" s="166">
        <v>45.27</v>
      </c>
      <c r="AB12" s="166">
        <v>75.5</v>
      </c>
      <c r="AC12" s="166">
        <v>17.04</v>
      </c>
      <c r="AD12" s="166">
        <v>93.47</v>
      </c>
      <c r="AE12" s="166">
        <v>42.59</v>
      </c>
      <c r="AF12" s="166">
        <v>36.119999999999997</v>
      </c>
      <c r="AG12" s="166">
        <v>79.7</v>
      </c>
      <c r="AH12" s="166">
        <v>75.069999999999993</v>
      </c>
      <c r="AI12" s="566">
        <v>91.22</v>
      </c>
      <c r="AJ12" s="166">
        <v>52.64</v>
      </c>
      <c r="AK12" s="166">
        <v>109.76</v>
      </c>
      <c r="AL12" s="166">
        <v>71.06</v>
      </c>
      <c r="AM12" s="166"/>
      <c r="AN12" s="166"/>
      <c r="AO12" s="166"/>
    </row>
    <row r="13" spans="1:41">
      <c r="A13" s="19">
        <f t="shared" si="0"/>
        <v>11</v>
      </c>
      <c r="B13" s="559">
        <v>45782</v>
      </c>
      <c r="C13" s="565">
        <v>65.489999999999995</v>
      </c>
      <c r="D13" s="166">
        <v>60.99</v>
      </c>
      <c r="E13" s="166">
        <v>99.55</v>
      </c>
      <c r="F13" s="166">
        <v>107.44</v>
      </c>
      <c r="G13" s="166">
        <v>41.95</v>
      </c>
      <c r="H13" s="166">
        <v>61.04</v>
      </c>
      <c r="I13" s="166">
        <v>38.880000000000003</v>
      </c>
      <c r="J13" s="166">
        <v>73.040000000000006</v>
      </c>
      <c r="K13" s="166">
        <v>109.52</v>
      </c>
      <c r="L13" s="166">
        <v>54.42</v>
      </c>
      <c r="M13" s="166">
        <v>136.69</v>
      </c>
      <c r="N13" s="166">
        <v>120.75</v>
      </c>
      <c r="O13" s="166">
        <v>54.93</v>
      </c>
      <c r="P13" s="166">
        <v>84.39</v>
      </c>
      <c r="Q13" s="166">
        <v>69.459999999999994</v>
      </c>
      <c r="R13" s="166">
        <v>59.29</v>
      </c>
      <c r="S13" s="166">
        <v>46</v>
      </c>
      <c r="T13" s="166">
        <v>43.09</v>
      </c>
      <c r="U13" s="166">
        <v>67.08</v>
      </c>
      <c r="V13" s="166">
        <v>10.34</v>
      </c>
      <c r="W13" s="166">
        <v>116.5</v>
      </c>
      <c r="X13" s="166">
        <v>90.88</v>
      </c>
      <c r="Y13" s="166">
        <v>66.099999999999994</v>
      </c>
      <c r="Z13" s="166">
        <v>58.29</v>
      </c>
      <c r="AA13" s="166">
        <v>45.14</v>
      </c>
      <c r="AB13" s="166">
        <v>81.010000000000005</v>
      </c>
      <c r="AC13" s="166">
        <v>16.920000000000002</v>
      </c>
      <c r="AD13" s="166">
        <v>93.91</v>
      </c>
      <c r="AE13" s="166">
        <v>42.38</v>
      </c>
      <c r="AF13" s="166">
        <v>36.28</v>
      </c>
      <c r="AG13" s="166">
        <v>78.349999999999994</v>
      </c>
      <c r="AH13" s="166">
        <v>75.36</v>
      </c>
      <c r="AI13" s="566">
        <v>91.05</v>
      </c>
      <c r="AJ13" s="166">
        <v>52.56</v>
      </c>
      <c r="AK13" s="166">
        <v>108.7</v>
      </c>
      <c r="AL13" s="166">
        <v>70.89</v>
      </c>
      <c r="AM13" s="166"/>
      <c r="AN13" s="166"/>
      <c r="AO13" s="166"/>
    </row>
    <row r="14" spans="1:41">
      <c r="A14" s="19">
        <f t="shared" si="0"/>
        <v>12</v>
      </c>
      <c r="B14" s="559">
        <v>45779</v>
      </c>
      <c r="C14" s="565">
        <v>65.47</v>
      </c>
      <c r="D14" s="166">
        <v>61.17</v>
      </c>
      <c r="E14" s="166">
        <v>99.48</v>
      </c>
      <c r="F14" s="166">
        <v>107.69</v>
      </c>
      <c r="G14" s="166">
        <v>41.76</v>
      </c>
      <c r="H14" s="166">
        <v>61.28</v>
      </c>
      <c r="I14" s="166">
        <v>38.99</v>
      </c>
      <c r="J14" s="166">
        <v>72.91</v>
      </c>
      <c r="K14" s="166">
        <v>110.03</v>
      </c>
      <c r="L14" s="166">
        <v>55</v>
      </c>
      <c r="M14" s="166">
        <v>136.36000000000001</v>
      </c>
      <c r="N14" s="166">
        <v>121.58</v>
      </c>
      <c r="O14" s="166">
        <v>54.88</v>
      </c>
      <c r="P14" s="166">
        <v>84.47</v>
      </c>
      <c r="Q14" s="166">
        <v>69.25</v>
      </c>
      <c r="R14" s="166">
        <v>58.83</v>
      </c>
      <c r="S14" s="166">
        <v>46.48</v>
      </c>
      <c r="T14" s="166">
        <v>43.09</v>
      </c>
      <c r="U14" s="166">
        <v>67.8</v>
      </c>
      <c r="V14" s="166">
        <v>10.210000000000001</v>
      </c>
      <c r="W14" s="166">
        <v>117.54</v>
      </c>
      <c r="X14" s="166">
        <v>90.89</v>
      </c>
      <c r="Y14" s="166">
        <v>67.09</v>
      </c>
      <c r="Z14" s="166">
        <v>58.2</v>
      </c>
      <c r="AA14" s="166">
        <v>45.11</v>
      </c>
      <c r="AB14" s="166">
        <v>81.02</v>
      </c>
      <c r="AC14" s="166">
        <v>16.93</v>
      </c>
      <c r="AD14" s="166">
        <v>94.32</v>
      </c>
      <c r="AE14" s="166">
        <v>41.76</v>
      </c>
      <c r="AF14" s="166">
        <v>36.17</v>
      </c>
      <c r="AG14" s="166">
        <v>79.48</v>
      </c>
      <c r="AH14" s="166">
        <v>75.47</v>
      </c>
      <c r="AI14" s="566">
        <v>91.05</v>
      </c>
      <c r="AJ14" s="166">
        <v>53.56</v>
      </c>
      <c r="AK14" s="166">
        <v>108.62</v>
      </c>
      <c r="AL14" s="166">
        <v>70.77</v>
      </c>
      <c r="AM14" s="166"/>
      <c r="AN14" s="166"/>
      <c r="AO14" s="166"/>
    </row>
    <row r="15" spans="1:41">
      <c r="A15" s="19">
        <f t="shared" si="0"/>
        <v>13</v>
      </c>
      <c r="B15" s="559">
        <v>45778</v>
      </c>
      <c r="C15" s="565">
        <v>65.25</v>
      </c>
      <c r="D15" s="166">
        <v>60.55</v>
      </c>
      <c r="E15" s="166">
        <v>98.09</v>
      </c>
      <c r="F15" s="166">
        <v>107.54</v>
      </c>
      <c r="G15" s="166">
        <v>41.23</v>
      </c>
      <c r="H15" s="166">
        <v>60.75</v>
      </c>
      <c r="I15" s="166">
        <v>38.6</v>
      </c>
      <c r="J15" s="166">
        <v>72.97</v>
      </c>
      <c r="K15" s="166">
        <v>112.56</v>
      </c>
      <c r="L15" s="166">
        <v>54.83</v>
      </c>
      <c r="M15" s="166">
        <v>135.84</v>
      </c>
      <c r="N15" s="166">
        <v>121.33</v>
      </c>
      <c r="O15" s="166">
        <v>54.56</v>
      </c>
      <c r="P15" s="166">
        <v>83.37</v>
      </c>
      <c r="Q15" s="166">
        <v>68.430000000000007</v>
      </c>
      <c r="R15" s="166">
        <v>59.08</v>
      </c>
      <c r="S15" s="166">
        <v>46.6</v>
      </c>
      <c r="T15" s="166">
        <v>42.75</v>
      </c>
      <c r="U15" s="166">
        <v>68.27</v>
      </c>
      <c r="V15" s="166">
        <v>10.23</v>
      </c>
      <c r="W15" s="166">
        <v>116.3</v>
      </c>
      <c r="X15" s="166">
        <v>90.34</v>
      </c>
      <c r="Y15" s="166">
        <v>66.05</v>
      </c>
      <c r="Z15" s="166">
        <v>58.2</v>
      </c>
      <c r="AA15" s="166">
        <v>44.79</v>
      </c>
      <c r="AB15" s="166">
        <v>79.36</v>
      </c>
      <c r="AC15" s="166">
        <v>16.670000000000002</v>
      </c>
      <c r="AD15" s="166">
        <v>93.41</v>
      </c>
      <c r="AE15" s="166">
        <v>41.56</v>
      </c>
      <c r="AF15" s="166">
        <v>36.08</v>
      </c>
      <c r="AG15" s="166">
        <v>78.66</v>
      </c>
      <c r="AH15" s="166">
        <v>74.7</v>
      </c>
      <c r="AI15" s="566">
        <v>91.46</v>
      </c>
      <c r="AJ15" s="166">
        <v>53.02</v>
      </c>
      <c r="AK15" s="166">
        <v>108.79</v>
      </c>
      <c r="AL15" s="166">
        <v>70.400000000000006</v>
      </c>
      <c r="AM15" s="166"/>
      <c r="AN15" s="166"/>
      <c r="AO15" s="166"/>
    </row>
    <row r="16" spans="1:41">
      <c r="A16" s="19">
        <f t="shared" si="0"/>
        <v>14</v>
      </c>
      <c r="B16" s="559">
        <v>45777</v>
      </c>
      <c r="C16" s="565">
        <v>65.489999999999995</v>
      </c>
      <c r="D16" s="166">
        <v>61.04</v>
      </c>
      <c r="E16" s="166">
        <v>99.24</v>
      </c>
      <c r="F16" s="166">
        <v>108.34</v>
      </c>
      <c r="G16" s="166">
        <v>41.47</v>
      </c>
      <c r="H16" s="166">
        <v>60.9</v>
      </c>
      <c r="I16" s="166">
        <v>38.78</v>
      </c>
      <c r="J16" s="166">
        <v>73.650000000000006</v>
      </c>
      <c r="K16" s="166">
        <v>112.75</v>
      </c>
      <c r="L16" s="166">
        <v>54.38</v>
      </c>
      <c r="M16" s="166">
        <v>137</v>
      </c>
      <c r="N16" s="166">
        <v>122.02</v>
      </c>
      <c r="O16" s="166">
        <v>53.51</v>
      </c>
      <c r="P16" s="166">
        <v>83.17</v>
      </c>
      <c r="Q16" s="166">
        <v>69.099999999999994</v>
      </c>
      <c r="R16" s="166">
        <v>59.48</v>
      </c>
      <c r="S16" s="166">
        <v>46.9</v>
      </c>
      <c r="T16" s="166">
        <v>42.88</v>
      </c>
      <c r="U16" s="166">
        <v>67.540000000000006</v>
      </c>
      <c r="V16" s="166">
        <v>10.5</v>
      </c>
      <c r="W16" s="166">
        <v>118.09</v>
      </c>
      <c r="X16" s="166">
        <v>90.42</v>
      </c>
      <c r="Y16" s="166">
        <v>66.88</v>
      </c>
      <c r="Z16" s="166">
        <v>58.23</v>
      </c>
      <c r="AA16" s="166">
        <v>45.38</v>
      </c>
      <c r="AB16" s="166">
        <v>79.38</v>
      </c>
      <c r="AC16" s="166">
        <v>16.52</v>
      </c>
      <c r="AD16" s="166">
        <v>95.18</v>
      </c>
      <c r="AE16" s="166">
        <v>42.12</v>
      </c>
      <c r="AF16" s="166">
        <v>36.5</v>
      </c>
      <c r="AG16" s="166">
        <v>79.930000000000007</v>
      </c>
      <c r="AH16" s="166">
        <v>74.27</v>
      </c>
      <c r="AI16" s="566">
        <v>91.89</v>
      </c>
      <c r="AJ16" s="166">
        <v>53.2</v>
      </c>
      <c r="AK16" s="166">
        <v>109.52</v>
      </c>
      <c r="AL16" s="166">
        <v>70.7</v>
      </c>
      <c r="AM16" s="166"/>
      <c r="AN16" s="166"/>
      <c r="AO16" s="166"/>
    </row>
    <row r="17" spans="1:41">
      <c r="A17" s="19">
        <f t="shared" si="0"/>
        <v>15</v>
      </c>
      <c r="B17" s="559">
        <v>45776</v>
      </c>
      <c r="C17" s="565">
        <v>65.260000000000005</v>
      </c>
      <c r="D17" s="166">
        <v>61.61</v>
      </c>
      <c r="E17" s="166">
        <v>99.21</v>
      </c>
      <c r="F17" s="166">
        <v>108.5</v>
      </c>
      <c r="G17" s="166">
        <v>41.56</v>
      </c>
      <c r="H17" s="166">
        <v>61.16</v>
      </c>
      <c r="I17" s="166">
        <v>38.24</v>
      </c>
      <c r="J17" s="166">
        <v>73.63</v>
      </c>
      <c r="K17" s="166">
        <v>112.13</v>
      </c>
      <c r="L17" s="166">
        <v>54.31</v>
      </c>
      <c r="M17" s="166">
        <v>136.76</v>
      </c>
      <c r="N17" s="166">
        <v>121.7</v>
      </c>
      <c r="O17" s="166">
        <v>58.73</v>
      </c>
      <c r="P17" s="166">
        <v>83.53</v>
      </c>
      <c r="Q17" s="166">
        <v>68.91</v>
      </c>
      <c r="R17" s="166">
        <v>59.42</v>
      </c>
      <c r="S17" s="166">
        <v>46.85</v>
      </c>
      <c r="T17" s="166">
        <v>43.07</v>
      </c>
      <c r="U17" s="166">
        <v>67.180000000000007</v>
      </c>
      <c r="V17" s="166">
        <v>10.5</v>
      </c>
      <c r="W17" s="166">
        <v>117.56</v>
      </c>
      <c r="X17" s="166">
        <v>91.47</v>
      </c>
      <c r="Y17" s="166">
        <v>67.25</v>
      </c>
      <c r="Z17" s="166">
        <v>59.51</v>
      </c>
      <c r="AA17" s="166">
        <v>45.71</v>
      </c>
      <c r="AB17" s="166">
        <v>78.680000000000007</v>
      </c>
      <c r="AC17" s="166">
        <v>17.350000000000001</v>
      </c>
      <c r="AD17" s="166">
        <v>95.29</v>
      </c>
      <c r="AE17" s="166">
        <v>41.7</v>
      </c>
      <c r="AF17" s="166">
        <v>36.39</v>
      </c>
      <c r="AG17" s="166">
        <v>81.61</v>
      </c>
      <c r="AH17" s="166">
        <v>75.349999999999994</v>
      </c>
      <c r="AI17" s="566">
        <v>91.45</v>
      </c>
      <c r="AJ17" s="166">
        <v>53.69</v>
      </c>
      <c r="AK17" s="166">
        <v>109.15</v>
      </c>
      <c r="AL17" s="166">
        <v>70.67</v>
      </c>
      <c r="AM17" s="166"/>
      <c r="AN17" s="166"/>
      <c r="AO17" s="166"/>
    </row>
    <row r="18" spans="1:41">
      <c r="A18" s="19">
        <f t="shared" si="0"/>
        <v>16</v>
      </c>
      <c r="B18" s="559">
        <v>45775</v>
      </c>
      <c r="C18" s="565">
        <v>65.25</v>
      </c>
      <c r="D18" s="166">
        <v>60.9</v>
      </c>
      <c r="E18" s="166">
        <v>98.89</v>
      </c>
      <c r="F18" s="166">
        <v>107.06</v>
      </c>
      <c r="G18" s="166">
        <v>41.33</v>
      </c>
      <c r="H18" s="166">
        <v>60.83</v>
      </c>
      <c r="I18" s="166">
        <v>38.24</v>
      </c>
      <c r="J18" s="166">
        <v>72.510000000000005</v>
      </c>
      <c r="K18" s="166">
        <v>111.13</v>
      </c>
      <c r="L18" s="166">
        <v>53.74</v>
      </c>
      <c r="M18" s="166">
        <v>135.69</v>
      </c>
      <c r="N18" s="166">
        <v>120.67</v>
      </c>
      <c r="O18" s="166">
        <v>58.35</v>
      </c>
      <c r="P18" s="166">
        <v>85.09</v>
      </c>
      <c r="Q18" s="166">
        <v>69.02</v>
      </c>
      <c r="R18" s="166">
        <v>59.1</v>
      </c>
      <c r="S18" s="166">
        <v>46.48</v>
      </c>
      <c r="T18" s="166">
        <v>42.72</v>
      </c>
      <c r="U18" s="166">
        <v>67.34</v>
      </c>
      <c r="V18" s="166">
        <v>10.210000000000001</v>
      </c>
      <c r="W18" s="166">
        <v>117.65</v>
      </c>
      <c r="X18" s="166">
        <v>90.06</v>
      </c>
      <c r="Y18" s="166">
        <v>66.19</v>
      </c>
      <c r="Z18" s="166">
        <v>58.8</v>
      </c>
      <c r="AA18" s="166">
        <v>45.47</v>
      </c>
      <c r="AB18" s="166">
        <v>78</v>
      </c>
      <c r="AC18" s="166">
        <v>17.28</v>
      </c>
      <c r="AD18" s="166">
        <v>94.59</v>
      </c>
      <c r="AE18" s="166">
        <v>41.41</v>
      </c>
      <c r="AF18" s="166">
        <v>36.46</v>
      </c>
      <c r="AG18" s="166">
        <v>80.900000000000006</v>
      </c>
      <c r="AH18" s="166">
        <v>75.599999999999994</v>
      </c>
      <c r="AI18" s="566">
        <v>90.75</v>
      </c>
      <c r="AJ18" s="166">
        <v>53.42</v>
      </c>
      <c r="AK18" s="166">
        <v>108.54</v>
      </c>
      <c r="AL18" s="166">
        <v>69.58</v>
      </c>
      <c r="AM18" s="166"/>
      <c r="AN18" s="166"/>
      <c r="AO18" s="166"/>
    </row>
    <row r="19" spans="1:41">
      <c r="A19" s="19">
        <f t="shared" si="0"/>
        <v>17</v>
      </c>
      <c r="B19" s="559">
        <v>45772</v>
      </c>
      <c r="C19" s="565">
        <v>65.19</v>
      </c>
      <c r="D19" s="166">
        <v>60.74</v>
      </c>
      <c r="E19" s="166">
        <v>98.28</v>
      </c>
      <c r="F19" s="166">
        <v>106.74</v>
      </c>
      <c r="G19" s="166">
        <v>41.1</v>
      </c>
      <c r="H19" s="166">
        <v>60.23</v>
      </c>
      <c r="I19" s="166">
        <v>38.19</v>
      </c>
      <c r="J19" s="166">
        <v>72.180000000000007</v>
      </c>
      <c r="K19" s="166">
        <v>110.45</v>
      </c>
      <c r="L19" s="166">
        <v>52.95</v>
      </c>
      <c r="M19" s="166">
        <v>134.76</v>
      </c>
      <c r="N19" s="166">
        <v>119.85</v>
      </c>
      <c r="O19" s="166">
        <v>57.96</v>
      </c>
      <c r="P19" s="166">
        <v>84.61</v>
      </c>
      <c r="Q19" s="166">
        <v>67.88</v>
      </c>
      <c r="R19" s="166">
        <v>57.86</v>
      </c>
      <c r="S19" s="166">
        <v>46.22</v>
      </c>
      <c r="T19" s="166">
        <v>42.34</v>
      </c>
      <c r="U19" s="166">
        <v>67.290000000000006</v>
      </c>
      <c r="V19" s="166">
        <v>10.06</v>
      </c>
      <c r="W19" s="166">
        <v>116.46</v>
      </c>
      <c r="X19" s="166">
        <v>89.85</v>
      </c>
      <c r="Y19" s="166">
        <v>66.09</v>
      </c>
      <c r="Z19" s="166">
        <v>58.28</v>
      </c>
      <c r="AA19" s="166">
        <v>44.85</v>
      </c>
      <c r="AB19" s="166">
        <v>77.89</v>
      </c>
      <c r="AC19" s="166">
        <v>17.14</v>
      </c>
      <c r="AD19" s="166">
        <v>93.75</v>
      </c>
      <c r="AE19" s="166">
        <v>41.36</v>
      </c>
      <c r="AF19" s="166">
        <v>35.93</v>
      </c>
      <c r="AG19" s="166">
        <v>81.03</v>
      </c>
      <c r="AH19" s="166">
        <v>74.680000000000007</v>
      </c>
      <c r="AI19" s="566">
        <v>90.43</v>
      </c>
      <c r="AJ19" s="166">
        <v>52.97</v>
      </c>
      <c r="AK19" s="166">
        <v>107.73</v>
      </c>
      <c r="AL19" s="166">
        <v>69</v>
      </c>
      <c r="AM19" s="166"/>
      <c r="AN19" s="166"/>
      <c r="AO19" s="166"/>
    </row>
    <row r="20" spans="1:41">
      <c r="A20" s="19">
        <f t="shared" si="0"/>
        <v>18</v>
      </c>
      <c r="B20" s="559">
        <v>45771</v>
      </c>
      <c r="C20" s="565">
        <v>65.290000000000006</v>
      </c>
      <c r="D20" s="166">
        <v>61.33</v>
      </c>
      <c r="E20" s="166">
        <v>98.92</v>
      </c>
      <c r="F20" s="166">
        <v>106.7</v>
      </c>
      <c r="G20" s="166">
        <v>41.26</v>
      </c>
      <c r="H20" s="166">
        <v>60.55</v>
      </c>
      <c r="I20" s="166">
        <v>37.9</v>
      </c>
      <c r="J20" s="166">
        <v>74.14</v>
      </c>
      <c r="K20" s="166">
        <v>111.29</v>
      </c>
      <c r="L20" s="166">
        <v>53.35</v>
      </c>
      <c r="M20" s="166">
        <v>136.97999999999999</v>
      </c>
      <c r="N20" s="166">
        <v>120.7</v>
      </c>
      <c r="O20" s="166">
        <v>58.2</v>
      </c>
      <c r="P20" s="166">
        <v>84.97</v>
      </c>
      <c r="Q20" s="166">
        <v>68.28</v>
      </c>
      <c r="R20" s="166">
        <v>58.53</v>
      </c>
      <c r="S20" s="166">
        <v>46.33</v>
      </c>
      <c r="T20" s="166">
        <v>42.28</v>
      </c>
      <c r="U20" s="166">
        <v>67.06</v>
      </c>
      <c r="V20" s="166">
        <v>10.36</v>
      </c>
      <c r="W20" s="166">
        <v>117.46</v>
      </c>
      <c r="X20" s="166">
        <v>90.78</v>
      </c>
      <c r="Y20" s="166">
        <v>66.349999999999994</v>
      </c>
      <c r="Z20" s="166">
        <v>58.51</v>
      </c>
      <c r="AA20" s="166">
        <v>45.21</v>
      </c>
      <c r="AB20" s="166">
        <v>79.13</v>
      </c>
      <c r="AC20" s="166">
        <v>17.39</v>
      </c>
      <c r="AD20" s="166">
        <v>94.48</v>
      </c>
      <c r="AE20" s="166">
        <v>42.98</v>
      </c>
      <c r="AF20" s="166">
        <v>36.25</v>
      </c>
      <c r="AG20" s="166">
        <v>81.72</v>
      </c>
      <c r="AH20" s="166">
        <v>74.52</v>
      </c>
      <c r="AI20" s="566">
        <v>91.05</v>
      </c>
      <c r="AJ20" s="166">
        <v>53.7</v>
      </c>
      <c r="AK20" s="166">
        <v>108.91</v>
      </c>
      <c r="AL20" s="166">
        <v>70.290000000000006</v>
      </c>
      <c r="AM20" s="166"/>
      <c r="AN20" s="166"/>
      <c r="AO20" s="166"/>
    </row>
    <row r="21" spans="1:41">
      <c r="A21" s="19">
        <f t="shared" si="0"/>
        <v>19</v>
      </c>
      <c r="B21" s="559">
        <v>45770</v>
      </c>
      <c r="C21" s="565">
        <v>65.099999999999994</v>
      </c>
      <c r="D21" s="166">
        <v>61.23</v>
      </c>
      <c r="E21" s="166">
        <v>98.63</v>
      </c>
      <c r="F21" s="166">
        <v>107.02</v>
      </c>
      <c r="G21" s="166">
        <v>41.51</v>
      </c>
      <c r="H21" s="166">
        <v>60.62</v>
      </c>
      <c r="I21" s="166">
        <v>37.340000000000003</v>
      </c>
      <c r="J21" s="166">
        <v>73.5</v>
      </c>
      <c r="K21" s="166">
        <v>112.52</v>
      </c>
      <c r="L21" s="166">
        <v>53.33</v>
      </c>
      <c r="M21" s="166">
        <v>136.16</v>
      </c>
      <c r="N21" s="166">
        <v>121.42</v>
      </c>
      <c r="O21" s="166">
        <v>58.16</v>
      </c>
      <c r="P21" s="166">
        <v>84.26</v>
      </c>
      <c r="Q21" s="166">
        <v>68.11</v>
      </c>
      <c r="R21" s="166">
        <v>57.96</v>
      </c>
      <c r="S21" s="166">
        <v>46.8</v>
      </c>
      <c r="T21" s="166">
        <v>42.57</v>
      </c>
      <c r="U21" s="166">
        <v>67.64</v>
      </c>
      <c r="V21" s="166">
        <v>10.31</v>
      </c>
      <c r="W21" s="166">
        <v>116.28</v>
      </c>
      <c r="X21" s="166">
        <v>91.03</v>
      </c>
      <c r="Y21" s="166">
        <v>67.27</v>
      </c>
      <c r="Z21" s="166">
        <v>58.43</v>
      </c>
      <c r="AA21" s="166">
        <v>45.04</v>
      </c>
      <c r="AB21" s="166">
        <v>78.95</v>
      </c>
      <c r="AC21" s="166">
        <v>17.54</v>
      </c>
      <c r="AD21" s="166">
        <v>94.36</v>
      </c>
      <c r="AE21" s="166">
        <v>43.32</v>
      </c>
      <c r="AF21" s="166">
        <v>36.24</v>
      </c>
      <c r="AG21" s="166">
        <v>81.84</v>
      </c>
      <c r="AH21" s="166">
        <v>73.31</v>
      </c>
      <c r="AI21" s="566">
        <v>91.13</v>
      </c>
      <c r="AJ21" s="166">
        <v>53.44</v>
      </c>
      <c r="AK21" s="166">
        <v>108.76</v>
      </c>
      <c r="AL21" s="166">
        <v>71.55</v>
      </c>
      <c r="AM21" s="166"/>
      <c r="AN21" s="166"/>
      <c r="AO21" s="166"/>
    </row>
    <row r="22" spans="1:41">
      <c r="A22" s="19">
        <f t="shared" si="0"/>
        <v>20</v>
      </c>
      <c r="B22" s="559">
        <v>45769</v>
      </c>
      <c r="C22" s="565">
        <v>65.2</v>
      </c>
      <c r="D22" s="166">
        <v>61.03</v>
      </c>
      <c r="E22" s="166">
        <v>99.15</v>
      </c>
      <c r="F22" s="166">
        <v>108.15</v>
      </c>
      <c r="G22" s="166">
        <v>41.86</v>
      </c>
      <c r="H22" s="166">
        <v>60.79</v>
      </c>
      <c r="I22" s="166">
        <v>37.26</v>
      </c>
      <c r="J22" s="166">
        <v>73.7</v>
      </c>
      <c r="K22" s="166">
        <v>113.3</v>
      </c>
      <c r="L22" s="166">
        <v>53.4</v>
      </c>
      <c r="M22" s="166">
        <v>135.80000000000001</v>
      </c>
      <c r="N22" s="166">
        <v>122.53</v>
      </c>
      <c r="O22" s="166">
        <v>57.82</v>
      </c>
      <c r="P22" s="166">
        <v>83.28</v>
      </c>
      <c r="Q22" s="166">
        <v>68.36</v>
      </c>
      <c r="R22" s="166">
        <v>58.05</v>
      </c>
      <c r="S22" s="166">
        <v>47.37</v>
      </c>
      <c r="T22" s="166">
        <v>42.71</v>
      </c>
      <c r="U22" s="166">
        <v>66.59</v>
      </c>
      <c r="V22" s="166">
        <v>10.46</v>
      </c>
      <c r="W22" s="166">
        <v>118.02</v>
      </c>
      <c r="X22" s="166">
        <v>91.39</v>
      </c>
      <c r="Y22" s="166">
        <v>66.64</v>
      </c>
      <c r="Z22" s="166">
        <v>58.78</v>
      </c>
      <c r="AA22" s="166">
        <v>45.27</v>
      </c>
      <c r="AB22" s="166">
        <v>79.2</v>
      </c>
      <c r="AC22" s="166">
        <v>17.440000000000001</v>
      </c>
      <c r="AD22" s="166">
        <v>95.01</v>
      </c>
      <c r="AE22" s="166">
        <v>43.71</v>
      </c>
      <c r="AF22" s="166">
        <v>36.21</v>
      </c>
      <c r="AG22" s="166">
        <v>82</v>
      </c>
      <c r="AH22" s="166">
        <v>72.31</v>
      </c>
      <c r="AI22" s="566">
        <v>91.86</v>
      </c>
      <c r="AJ22" s="166">
        <v>53.34</v>
      </c>
      <c r="AK22" s="166">
        <v>109.13</v>
      </c>
      <c r="AL22" s="166">
        <v>71.39</v>
      </c>
      <c r="AM22" s="166"/>
      <c r="AN22" s="166"/>
      <c r="AO22" s="166"/>
    </row>
    <row r="23" spans="1:41">
      <c r="A23" s="19">
        <f t="shared" si="0"/>
        <v>21</v>
      </c>
      <c r="B23" s="559">
        <v>45768</v>
      </c>
      <c r="C23" s="565">
        <v>64.75</v>
      </c>
      <c r="D23" s="166">
        <v>59.29</v>
      </c>
      <c r="E23" s="166">
        <v>96.48</v>
      </c>
      <c r="F23" s="166">
        <v>105.53</v>
      </c>
      <c r="G23" s="166">
        <v>41.21</v>
      </c>
      <c r="H23" s="166">
        <v>59.72</v>
      </c>
      <c r="I23" s="166">
        <v>36.49</v>
      </c>
      <c r="J23" s="166">
        <v>72.099999999999994</v>
      </c>
      <c r="K23" s="166">
        <v>110.96</v>
      </c>
      <c r="L23" s="166">
        <v>52.06</v>
      </c>
      <c r="M23" s="166">
        <v>131.78</v>
      </c>
      <c r="N23" s="166">
        <v>120.17</v>
      </c>
      <c r="O23" s="166">
        <v>55.81</v>
      </c>
      <c r="P23" s="166">
        <v>80.510000000000005</v>
      </c>
      <c r="Q23" s="166">
        <v>66.95</v>
      </c>
      <c r="R23" s="166">
        <v>56.38</v>
      </c>
      <c r="S23" s="166">
        <v>46.23</v>
      </c>
      <c r="T23" s="166">
        <v>41.8</v>
      </c>
      <c r="U23" s="166">
        <v>66.7</v>
      </c>
      <c r="V23" s="166">
        <v>10.25</v>
      </c>
      <c r="W23" s="166">
        <v>116.28</v>
      </c>
      <c r="X23" s="166">
        <v>89.69</v>
      </c>
      <c r="Y23" s="166">
        <v>64.680000000000007</v>
      </c>
      <c r="Z23" s="166">
        <v>58.06</v>
      </c>
      <c r="AA23" s="166">
        <v>44.1</v>
      </c>
      <c r="AB23" s="166">
        <v>77.7</v>
      </c>
      <c r="AC23" s="166">
        <v>16.84</v>
      </c>
      <c r="AD23" s="166">
        <v>93.24</v>
      </c>
      <c r="AE23" s="166">
        <v>42.44</v>
      </c>
      <c r="AF23" s="166">
        <v>35.31</v>
      </c>
      <c r="AG23" s="166">
        <v>80.25</v>
      </c>
      <c r="AH23" s="166">
        <v>70.459999999999994</v>
      </c>
      <c r="AI23" s="566">
        <v>90.23</v>
      </c>
      <c r="AJ23" s="166">
        <v>51.51</v>
      </c>
      <c r="AK23" s="166">
        <v>106.96</v>
      </c>
      <c r="AL23" s="166">
        <v>68.97</v>
      </c>
      <c r="AM23" s="166"/>
      <c r="AN23" s="166"/>
      <c r="AO23" s="166"/>
    </row>
    <row r="24" spans="1:41">
      <c r="A24" s="19">
        <f t="shared" si="0"/>
        <v>22</v>
      </c>
      <c r="B24" s="559">
        <v>45764</v>
      </c>
      <c r="C24" s="565">
        <v>64.75</v>
      </c>
      <c r="D24" s="166">
        <v>60.8</v>
      </c>
      <c r="E24" s="166">
        <v>98.65</v>
      </c>
      <c r="F24" s="166">
        <v>107.71</v>
      </c>
      <c r="G24" s="166">
        <v>41.84</v>
      </c>
      <c r="H24" s="166">
        <v>60.6</v>
      </c>
      <c r="I24" s="166">
        <v>37.159999999999997</v>
      </c>
      <c r="J24" s="166">
        <v>72.91</v>
      </c>
      <c r="K24" s="166">
        <v>112.1</v>
      </c>
      <c r="L24" s="166">
        <v>53.17</v>
      </c>
      <c r="M24" s="166">
        <v>133.55000000000001</v>
      </c>
      <c r="N24" s="166">
        <v>121.8</v>
      </c>
      <c r="O24" s="166">
        <v>57.39</v>
      </c>
      <c r="P24" s="166">
        <v>83.27</v>
      </c>
      <c r="Q24" s="166">
        <v>68.37</v>
      </c>
      <c r="R24" s="166">
        <v>57.44</v>
      </c>
      <c r="S24" s="166">
        <v>47.26</v>
      </c>
      <c r="T24" s="166">
        <v>42.02</v>
      </c>
      <c r="U24" s="166">
        <v>66.069999999999993</v>
      </c>
      <c r="V24" s="166">
        <v>10.45</v>
      </c>
      <c r="W24" s="166">
        <v>119.29</v>
      </c>
      <c r="X24" s="166">
        <v>90.58</v>
      </c>
      <c r="Y24" s="166">
        <v>66.31</v>
      </c>
      <c r="Z24" s="166">
        <v>58.77</v>
      </c>
      <c r="AA24" s="166">
        <v>45.1</v>
      </c>
      <c r="AB24" s="166">
        <v>78.959999999999994</v>
      </c>
      <c r="AC24" s="166">
        <v>17.23</v>
      </c>
      <c r="AD24" s="166">
        <v>94.45</v>
      </c>
      <c r="AE24" s="166">
        <v>43.08</v>
      </c>
      <c r="AF24" s="166">
        <v>35.72</v>
      </c>
      <c r="AG24" s="166">
        <v>83.36</v>
      </c>
      <c r="AH24" s="166">
        <v>71.12</v>
      </c>
      <c r="AI24" s="566">
        <v>91.81</v>
      </c>
      <c r="AJ24" s="166">
        <v>53.4</v>
      </c>
      <c r="AK24" s="166">
        <v>108.39</v>
      </c>
      <c r="AL24" s="166">
        <v>70.13</v>
      </c>
      <c r="AM24" s="166"/>
      <c r="AN24" s="166"/>
      <c r="AO24" s="166"/>
    </row>
    <row r="25" spans="1:41">
      <c r="A25" s="19">
        <f t="shared" si="0"/>
        <v>23</v>
      </c>
      <c r="B25" s="559">
        <v>45763</v>
      </c>
      <c r="C25" s="565">
        <v>64.83</v>
      </c>
      <c r="D25" s="166">
        <v>60.42</v>
      </c>
      <c r="E25" s="166">
        <v>98</v>
      </c>
      <c r="F25" s="166">
        <v>105.92</v>
      </c>
      <c r="G25" s="166">
        <v>41.6</v>
      </c>
      <c r="H25" s="166">
        <v>60.03</v>
      </c>
      <c r="I25" s="166">
        <v>36.78</v>
      </c>
      <c r="J25" s="166">
        <v>72.17</v>
      </c>
      <c r="K25" s="166">
        <v>111.44</v>
      </c>
      <c r="L25" s="166">
        <v>53.06</v>
      </c>
      <c r="M25" s="166">
        <v>132.02000000000001</v>
      </c>
      <c r="N25" s="166">
        <v>120.35</v>
      </c>
      <c r="O25" s="166">
        <v>56.33</v>
      </c>
      <c r="P25" s="166">
        <v>82.24</v>
      </c>
      <c r="Q25" s="166">
        <v>67.430000000000007</v>
      </c>
      <c r="R25" s="166">
        <v>58.06</v>
      </c>
      <c r="S25" s="166">
        <v>46.51</v>
      </c>
      <c r="T25" s="166">
        <v>40.799999999999997</v>
      </c>
      <c r="U25" s="166">
        <v>66.14</v>
      </c>
      <c r="V25" s="166">
        <v>10.35</v>
      </c>
      <c r="W25" s="166">
        <v>117.98</v>
      </c>
      <c r="X25" s="166">
        <v>90.32</v>
      </c>
      <c r="Y25" s="166">
        <v>65.64</v>
      </c>
      <c r="Z25" s="166">
        <v>57.69</v>
      </c>
      <c r="AA25" s="166">
        <v>44.7</v>
      </c>
      <c r="AB25" s="166">
        <v>78.53</v>
      </c>
      <c r="AC25" s="166">
        <v>17.18</v>
      </c>
      <c r="AD25" s="166">
        <v>93.41</v>
      </c>
      <c r="AE25" s="166">
        <v>43</v>
      </c>
      <c r="AF25" s="166">
        <v>35.28</v>
      </c>
      <c r="AG25" s="166">
        <v>83.03</v>
      </c>
      <c r="AH25" s="166">
        <v>70.39</v>
      </c>
      <c r="AI25" s="566">
        <v>90.47</v>
      </c>
      <c r="AJ25" s="166">
        <v>52.57</v>
      </c>
      <c r="AK25" s="166">
        <v>107.36</v>
      </c>
      <c r="AL25" s="166">
        <v>69.099999999999994</v>
      </c>
      <c r="AM25" s="166"/>
      <c r="AN25" s="166"/>
      <c r="AO25" s="166"/>
    </row>
    <row r="26" spans="1:41">
      <c r="A26" s="19">
        <f t="shared" si="0"/>
        <v>24</v>
      </c>
      <c r="B26" s="559">
        <v>45762</v>
      </c>
      <c r="C26" s="565">
        <v>64.98</v>
      </c>
      <c r="D26" s="166">
        <v>61.6</v>
      </c>
      <c r="E26" s="166">
        <v>99.03</v>
      </c>
      <c r="F26" s="166">
        <v>106.68</v>
      </c>
      <c r="G26" s="166">
        <v>41.69</v>
      </c>
      <c r="H26" s="166">
        <v>60.18</v>
      </c>
      <c r="I26" s="166">
        <v>37.159999999999997</v>
      </c>
      <c r="J26" s="166">
        <v>72.709999999999994</v>
      </c>
      <c r="K26" s="166">
        <v>111.81</v>
      </c>
      <c r="L26" s="166">
        <v>53.67</v>
      </c>
      <c r="M26" s="166">
        <v>132.91999999999999</v>
      </c>
      <c r="N26" s="166">
        <v>120.49</v>
      </c>
      <c r="O26" s="166">
        <v>56.9</v>
      </c>
      <c r="P26" s="166">
        <v>83.46</v>
      </c>
      <c r="Q26" s="166">
        <v>67.87</v>
      </c>
      <c r="R26" s="166">
        <v>57.98</v>
      </c>
      <c r="S26" s="166">
        <v>46.74</v>
      </c>
      <c r="T26" s="166">
        <v>41.04</v>
      </c>
      <c r="U26" s="166">
        <v>65.790000000000006</v>
      </c>
      <c r="V26" s="166">
        <v>10.38</v>
      </c>
      <c r="W26" s="166">
        <v>119.51</v>
      </c>
      <c r="X26" s="166">
        <v>90.76</v>
      </c>
      <c r="Y26" s="166">
        <v>67.66</v>
      </c>
      <c r="Z26" s="166">
        <v>57.43</v>
      </c>
      <c r="AA26" s="166">
        <v>44.78</v>
      </c>
      <c r="AB26" s="166">
        <v>79.790000000000006</v>
      </c>
      <c r="AC26" s="166">
        <v>17.16</v>
      </c>
      <c r="AD26" s="166">
        <v>94.27</v>
      </c>
      <c r="AE26" s="166">
        <v>43.2</v>
      </c>
      <c r="AF26" s="166">
        <v>35.369999999999997</v>
      </c>
      <c r="AG26" s="166">
        <v>83.53</v>
      </c>
      <c r="AH26" s="166">
        <v>70.22</v>
      </c>
      <c r="AI26" s="566">
        <v>91.02</v>
      </c>
      <c r="AJ26" s="166">
        <v>52.78</v>
      </c>
      <c r="AK26" s="166">
        <v>108.26</v>
      </c>
      <c r="AL26" s="166">
        <v>70.27</v>
      </c>
      <c r="AM26" s="166"/>
      <c r="AN26" s="166"/>
      <c r="AO26" s="166"/>
    </row>
    <row r="27" spans="1:41">
      <c r="A27" s="19">
        <f t="shared" si="0"/>
        <v>25</v>
      </c>
      <c r="B27" s="559">
        <v>45761</v>
      </c>
      <c r="C27" s="565">
        <v>65.069999999999993</v>
      </c>
      <c r="D27" s="166">
        <v>61.81</v>
      </c>
      <c r="E27" s="166">
        <v>99.01</v>
      </c>
      <c r="F27" s="166">
        <v>106.58</v>
      </c>
      <c r="G27" s="166">
        <v>41.29</v>
      </c>
      <c r="H27" s="166">
        <v>59.85</v>
      </c>
      <c r="I27" s="166">
        <v>37.229999999999997</v>
      </c>
      <c r="J27" s="166">
        <v>73.53</v>
      </c>
      <c r="K27" s="166">
        <v>112.25</v>
      </c>
      <c r="L27" s="166">
        <v>54.1</v>
      </c>
      <c r="M27" s="166">
        <v>133.19</v>
      </c>
      <c r="N27" s="166">
        <v>120.6</v>
      </c>
      <c r="O27" s="166">
        <v>57.22</v>
      </c>
      <c r="P27" s="166">
        <v>82.58</v>
      </c>
      <c r="Q27" s="166">
        <v>67.59</v>
      </c>
      <c r="R27" s="166">
        <v>58.48</v>
      </c>
      <c r="S27" s="166">
        <v>46.86</v>
      </c>
      <c r="T27" s="166">
        <v>41.12</v>
      </c>
      <c r="U27" s="166">
        <v>64.64</v>
      </c>
      <c r="V27" s="166">
        <v>10.050000000000001</v>
      </c>
      <c r="W27" s="166">
        <v>119.28</v>
      </c>
      <c r="X27" s="166">
        <v>90.98</v>
      </c>
      <c r="Y27" s="166">
        <v>67.69</v>
      </c>
      <c r="Z27" s="166">
        <v>57.18</v>
      </c>
      <c r="AA27" s="166">
        <v>44.76</v>
      </c>
      <c r="AB27" s="166">
        <v>79.98</v>
      </c>
      <c r="AC27" s="166">
        <v>17.059999999999999</v>
      </c>
      <c r="AD27" s="166">
        <v>93.71</v>
      </c>
      <c r="AE27" s="166">
        <v>43.25</v>
      </c>
      <c r="AF27" s="166">
        <v>35.450000000000003</v>
      </c>
      <c r="AG27" s="166">
        <v>83.67</v>
      </c>
      <c r="AH27" s="166">
        <v>69.73</v>
      </c>
      <c r="AI27" s="566">
        <v>91.16</v>
      </c>
      <c r="AJ27" s="166">
        <v>52.84</v>
      </c>
      <c r="AK27" s="166">
        <v>108.48</v>
      </c>
      <c r="AL27" s="166">
        <v>70.73</v>
      </c>
      <c r="AM27" s="166"/>
      <c r="AN27" s="166"/>
      <c r="AO27" s="166"/>
    </row>
    <row r="28" spans="1:41">
      <c r="A28" s="19">
        <f t="shared" si="0"/>
        <v>26</v>
      </c>
      <c r="B28" s="559">
        <v>45758</v>
      </c>
      <c r="C28" s="565">
        <v>64.53</v>
      </c>
      <c r="D28" s="166">
        <v>60.59</v>
      </c>
      <c r="E28" s="166">
        <v>97.53</v>
      </c>
      <c r="F28" s="166">
        <v>104.63</v>
      </c>
      <c r="G28" s="166">
        <v>40.479999999999997</v>
      </c>
      <c r="H28" s="166">
        <v>58.36</v>
      </c>
      <c r="I28" s="166">
        <v>36.58</v>
      </c>
      <c r="J28" s="166">
        <v>71.819999999999993</v>
      </c>
      <c r="K28" s="166">
        <v>109.84</v>
      </c>
      <c r="L28" s="166">
        <v>52.74</v>
      </c>
      <c r="M28" s="166">
        <v>129.82</v>
      </c>
      <c r="N28" s="166">
        <v>118.94</v>
      </c>
      <c r="O28" s="166">
        <v>56.1</v>
      </c>
      <c r="P28" s="166">
        <v>81.72</v>
      </c>
      <c r="Q28" s="166">
        <v>66.52</v>
      </c>
      <c r="R28" s="166">
        <v>56.32</v>
      </c>
      <c r="S28" s="166">
        <v>46</v>
      </c>
      <c r="T28" s="166">
        <v>40.6</v>
      </c>
      <c r="U28" s="166">
        <v>63.23</v>
      </c>
      <c r="V28" s="166">
        <v>9.67</v>
      </c>
      <c r="W28" s="166">
        <v>117.38</v>
      </c>
      <c r="X28" s="166">
        <v>89.33</v>
      </c>
      <c r="Y28" s="166">
        <v>65.81</v>
      </c>
      <c r="Z28" s="166">
        <v>56.26</v>
      </c>
      <c r="AA28" s="166">
        <v>44.12</v>
      </c>
      <c r="AB28" s="166">
        <v>78.66</v>
      </c>
      <c r="AC28" s="166">
        <v>16.920000000000002</v>
      </c>
      <c r="AD28" s="166">
        <v>91.91</v>
      </c>
      <c r="AE28" s="166">
        <v>42.19</v>
      </c>
      <c r="AF28" s="166">
        <v>34.74</v>
      </c>
      <c r="AG28" s="166">
        <v>82.14</v>
      </c>
      <c r="AH28" s="166">
        <v>68.31</v>
      </c>
      <c r="AI28" s="566">
        <v>89.86</v>
      </c>
      <c r="AJ28" s="166">
        <v>51.73</v>
      </c>
      <c r="AK28" s="166">
        <v>106.96</v>
      </c>
      <c r="AL28" s="166">
        <v>69.555000000000007</v>
      </c>
      <c r="AM28" s="166"/>
      <c r="AN28" s="166"/>
      <c r="AO28" s="166"/>
    </row>
    <row r="29" spans="1:41">
      <c r="A29" s="19">
        <f t="shared" si="0"/>
        <v>27</v>
      </c>
      <c r="B29" s="559">
        <v>45757</v>
      </c>
      <c r="C29" s="565">
        <v>64.61</v>
      </c>
      <c r="D29" s="166">
        <v>60.21</v>
      </c>
      <c r="E29" s="166">
        <v>96.72</v>
      </c>
      <c r="F29" s="166">
        <v>103.2</v>
      </c>
      <c r="G29" s="166">
        <v>40.14</v>
      </c>
      <c r="H29" s="166">
        <v>58.25</v>
      </c>
      <c r="I29" s="166">
        <v>36.19</v>
      </c>
      <c r="J29" s="166">
        <v>71.55</v>
      </c>
      <c r="K29" s="166">
        <v>108.3</v>
      </c>
      <c r="L29" s="166">
        <v>51.93</v>
      </c>
      <c r="M29" s="166">
        <v>128.75</v>
      </c>
      <c r="N29" s="166">
        <v>116.84</v>
      </c>
      <c r="O29" s="166">
        <v>55.4</v>
      </c>
      <c r="P29" s="166">
        <v>80.28</v>
      </c>
      <c r="Q29" s="166">
        <v>65.48</v>
      </c>
      <c r="R29" s="166">
        <v>55.69</v>
      </c>
      <c r="S29" s="166">
        <v>45.12</v>
      </c>
      <c r="T29" s="166">
        <v>40.090000000000003</v>
      </c>
      <c r="U29" s="166">
        <v>62.68</v>
      </c>
      <c r="V29" s="166">
        <v>9.43</v>
      </c>
      <c r="W29" s="166">
        <v>115.29</v>
      </c>
      <c r="X29" s="166">
        <v>87.77</v>
      </c>
      <c r="Y29" s="166">
        <v>66.72</v>
      </c>
      <c r="Z29" s="166">
        <v>55.67</v>
      </c>
      <c r="AA29" s="166">
        <v>43.29</v>
      </c>
      <c r="AB29" s="166">
        <v>77.52</v>
      </c>
      <c r="AC29" s="166">
        <v>16.47</v>
      </c>
      <c r="AD29" s="166">
        <v>90.28</v>
      </c>
      <c r="AE29" s="166">
        <v>41.62</v>
      </c>
      <c r="AF29" s="166">
        <v>34.200000000000003</v>
      </c>
      <c r="AG29" s="166">
        <v>81.23</v>
      </c>
      <c r="AH29" s="166">
        <v>66.900000000000006</v>
      </c>
      <c r="AI29" s="566">
        <v>88.89</v>
      </c>
      <c r="AJ29" s="166">
        <v>50.06</v>
      </c>
      <c r="AK29" s="166">
        <v>105.51</v>
      </c>
      <c r="AL29" s="166">
        <v>68.41</v>
      </c>
      <c r="AM29" s="166"/>
      <c r="AN29" s="166"/>
      <c r="AO29" s="166"/>
    </row>
    <row r="30" spans="1:41">
      <c r="A30" s="19">
        <f t="shared" si="0"/>
        <v>28</v>
      </c>
      <c r="B30" s="559">
        <v>45756</v>
      </c>
      <c r="C30" s="565">
        <v>65.14</v>
      </c>
      <c r="D30" s="166">
        <v>60.42</v>
      </c>
      <c r="E30" s="166">
        <v>96.35</v>
      </c>
      <c r="F30" s="166">
        <v>102.35</v>
      </c>
      <c r="G30" s="166">
        <v>39.71</v>
      </c>
      <c r="H30" s="166">
        <v>57.99</v>
      </c>
      <c r="I30" s="166">
        <v>36.26</v>
      </c>
      <c r="J30" s="166">
        <v>71.13</v>
      </c>
      <c r="K30" s="166">
        <v>105.77</v>
      </c>
      <c r="L30" s="166">
        <v>52.25</v>
      </c>
      <c r="M30" s="166">
        <v>130.51</v>
      </c>
      <c r="N30" s="166">
        <v>116.31</v>
      </c>
      <c r="O30" s="166">
        <v>56.06</v>
      </c>
      <c r="P30" s="166">
        <v>80.510000000000005</v>
      </c>
      <c r="Q30" s="166">
        <v>65.17</v>
      </c>
      <c r="R30" s="166">
        <v>56.31</v>
      </c>
      <c r="S30" s="166">
        <v>44.3</v>
      </c>
      <c r="T30" s="166">
        <v>39.380000000000003</v>
      </c>
      <c r="U30" s="567">
        <v>63.45</v>
      </c>
      <c r="V30" s="166">
        <v>9.77</v>
      </c>
      <c r="W30" s="166">
        <v>114.74</v>
      </c>
      <c r="X30" s="166">
        <v>89.06</v>
      </c>
      <c r="Y30" s="166">
        <v>67.58</v>
      </c>
      <c r="Z30" s="166">
        <v>55.69</v>
      </c>
      <c r="AA30" s="166">
        <v>43.43</v>
      </c>
      <c r="AB30" s="166">
        <v>77.98</v>
      </c>
      <c r="AC30" s="166">
        <v>16.809999999999999</v>
      </c>
      <c r="AD30" s="166">
        <v>90.62</v>
      </c>
      <c r="AE30" s="166">
        <v>42.28</v>
      </c>
      <c r="AF30" s="166">
        <v>34.159999999999997</v>
      </c>
      <c r="AG30" s="166">
        <v>81.83</v>
      </c>
      <c r="AH30" s="166">
        <v>68.06</v>
      </c>
      <c r="AI30" s="566">
        <v>87.8</v>
      </c>
      <c r="AJ30" s="166">
        <v>50.86</v>
      </c>
      <c r="AK30" s="166">
        <v>104.36</v>
      </c>
      <c r="AL30" s="166">
        <v>68.58</v>
      </c>
      <c r="AM30" s="166"/>
      <c r="AN30" s="166"/>
      <c r="AO30" s="166"/>
    </row>
    <row r="31" spans="1:41">
      <c r="A31" s="19">
        <f t="shared" si="0"/>
        <v>29</v>
      </c>
      <c r="B31" s="559">
        <v>45755</v>
      </c>
      <c r="C31" s="565">
        <v>64.55</v>
      </c>
      <c r="D31" s="166">
        <v>58.79</v>
      </c>
      <c r="E31" s="166">
        <v>94.23</v>
      </c>
      <c r="F31" s="166">
        <v>101.28</v>
      </c>
      <c r="G31" s="166">
        <v>39.549999999999997</v>
      </c>
      <c r="H31" s="166">
        <v>56.74</v>
      </c>
      <c r="I31" s="166">
        <v>35.549999999999997</v>
      </c>
      <c r="J31" s="166">
        <v>70.19</v>
      </c>
      <c r="K31" s="166">
        <v>106.05</v>
      </c>
      <c r="L31" s="166">
        <v>49.66</v>
      </c>
      <c r="M31" s="166">
        <v>127.39</v>
      </c>
      <c r="N31" s="166">
        <v>115.95</v>
      </c>
      <c r="O31" s="166">
        <v>52.5</v>
      </c>
      <c r="P31" s="166">
        <v>79.010000000000005</v>
      </c>
      <c r="Q31" s="166">
        <v>64.510000000000005</v>
      </c>
      <c r="R31" s="166">
        <v>54.25</v>
      </c>
      <c r="S31" s="166">
        <v>44.49</v>
      </c>
      <c r="T31" s="166">
        <v>38.31</v>
      </c>
      <c r="U31" s="567">
        <v>64.319999999999993</v>
      </c>
      <c r="V31" s="166">
        <v>9.36</v>
      </c>
      <c r="W31" s="166">
        <v>112.69</v>
      </c>
      <c r="X31" s="166">
        <v>86.85</v>
      </c>
      <c r="Y31" s="166">
        <v>64.11</v>
      </c>
      <c r="Z31" s="166">
        <v>54.76</v>
      </c>
      <c r="AA31" s="166">
        <v>42.23</v>
      </c>
      <c r="AB31" s="166">
        <v>74.62</v>
      </c>
      <c r="AC31" s="166">
        <v>15.94</v>
      </c>
      <c r="AD31" s="166">
        <v>88.82</v>
      </c>
      <c r="AE31" s="166">
        <v>41.42</v>
      </c>
      <c r="AF31" s="166">
        <v>33.54</v>
      </c>
      <c r="AG31" s="166">
        <v>77.7</v>
      </c>
      <c r="AH31" s="166">
        <v>63.78</v>
      </c>
      <c r="AI31" s="566">
        <v>86.86</v>
      </c>
      <c r="AJ31" s="166">
        <v>48.95</v>
      </c>
      <c r="AK31" s="166">
        <v>102.95</v>
      </c>
      <c r="AL31" s="166">
        <v>67.040000000000006</v>
      </c>
      <c r="AM31" s="166"/>
      <c r="AN31" s="166"/>
      <c r="AO31" s="166"/>
    </row>
    <row r="32" spans="1:41">
      <c r="A32" s="19">
        <f t="shared" si="0"/>
        <v>30</v>
      </c>
      <c r="B32" s="559">
        <v>45754</v>
      </c>
      <c r="C32" s="565">
        <v>64.64</v>
      </c>
      <c r="D32" s="166">
        <v>59.81</v>
      </c>
      <c r="E32" s="166">
        <v>94.34</v>
      </c>
      <c r="F32" s="166">
        <v>101.57</v>
      </c>
      <c r="G32" s="166">
        <v>39.56</v>
      </c>
      <c r="H32" s="567">
        <v>56.69</v>
      </c>
      <c r="I32" s="567">
        <v>35.5</v>
      </c>
      <c r="J32" s="567">
        <v>70.94</v>
      </c>
      <c r="K32" s="567">
        <v>105.4</v>
      </c>
      <c r="L32" s="167">
        <v>50.83</v>
      </c>
      <c r="M32" s="167">
        <v>127.95</v>
      </c>
      <c r="N32" s="167">
        <v>116.86</v>
      </c>
      <c r="O32" s="167">
        <v>53.62</v>
      </c>
      <c r="P32" s="167">
        <v>79.34</v>
      </c>
      <c r="Q32" s="167">
        <v>64.36</v>
      </c>
      <c r="R32" s="167">
        <v>55.56</v>
      </c>
      <c r="S32" s="167">
        <v>44.69</v>
      </c>
      <c r="T32" s="167">
        <v>38.71</v>
      </c>
      <c r="U32" s="167">
        <v>65.709999999999994</v>
      </c>
      <c r="V32" s="167">
        <v>9.7200000000000006</v>
      </c>
      <c r="W32" s="167">
        <v>113.75</v>
      </c>
      <c r="X32" s="167">
        <v>87.02</v>
      </c>
      <c r="Y32" s="167">
        <v>65.06</v>
      </c>
      <c r="Z32" s="167">
        <v>54.72</v>
      </c>
      <c r="AA32" s="167">
        <v>42.24</v>
      </c>
      <c r="AB32" s="167">
        <v>75.27</v>
      </c>
      <c r="AC32" s="167">
        <v>16.079999999999998</v>
      </c>
      <c r="AD32" s="167">
        <v>89.62</v>
      </c>
      <c r="AE32" s="167">
        <v>41.58</v>
      </c>
      <c r="AF32" s="167">
        <v>33.520000000000003</v>
      </c>
      <c r="AG32" s="167">
        <v>77.13</v>
      </c>
      <c r="AH32" s="167">
        <v>63.91</v>
      </c>
      <c r="AI32" s="568">
        <v>87.22</v>
      </c>
      <c r="AJ32" s="167">
        <v>49.78</v>
      </c>
      <c r="AK32" s="167">
        <v>103.21</v>
      </c>
      <c r="AL32" s="167">
        <v>67.06</v>
      </c>
      <c r="AM32" s="167"/>
      <c r="AN32" s="167"/>
      <c r="AO32" s="167"/>
    </row>
    <row r="33" spans="1:41" ht="1.9" customHeight="1">
      <c r="B33" s="569"/>
      <c r="C33" s="570"/>
      <c r="D33" s="570"/>
      <c r="E33" s="570"/>
      <c r="F33" s="570"/>
      <c r="G33" s="570"/>
      <c r="H33" s="570"/>
      <c r="I33" s="570"/>
      <c r="J33" s="570"/>
      <c r="K33" s="570"/>
      <c r="L33" s="67"/>
      <c r="M33" s="67"/>
      <c r="N33" s="67"/>
      <c r="O33" s="67"/>
      <c r="P33" s="67"/>
      <c r="Q33" s="67"/>
      <c r="R33" s="67"/>
      <c r="S33" s="67">
        <v>64.199996999999996</v>
      </c>
      <c r="T33" s="67"/>
      <c r="U33" s="67"/>
      <c r="V33" s="67"/>
      <c r="W33" s="67"/>
      <c r="X33" s="67"/>
      <c r="Y33" s="67">
        <v>64.279999000000004</v>
      </c>
      <c r="Z33" s="67"/>
      <c r="AA33" s="67"/>
      <c r="AB33" s="67"/>
      <c r="AC33" s="67"/>
      <c r="AD33" s="67"/>
      <c r="AE33" s="67"/>
      <c r="AF33" s="67"/>
      <c r="AG33" s="67"/>
      <c r="AH33" s="67"/>
      <c r="AI33" s="67"/>
      <c r="AJ33" s="67"/>
      <c r="AK33" s="67"/>
      <c r="AL33" s="67"/>
      <c r="AM33" s="67"/>
      <c r="AN33" s="67"/>
      <c r="AO33" s="67"/>
    </row>
    <row r="34" spans="1:41" s="2" customFormat="1">
      <c r="B34" s="569" t="s">
        <v>47</v>
      </c>
      <c r="C34" s="571">
        <f t="shared" ref="C34:AO34" si="1">AVERAGE(C3:C32)</f>
        <v>65.176333333333318</v>
      </c>
      <c r="D34" s="571">
        <f t="shared" si="1"/>
        <v>60.927999999999983</v>
      </c>
      <c r="E34" s="571">
        <f t="shared" si="1"/>
        <v>97.747333333333344</v>
      </c>
      <c r="F34" s="571">
        <f t="shared" si="1"/>
        <v>105.09966666666668</v>
      </c>
      <c r="G34" s="571">
        <f t="shared" si="1"/>
        <v>40.549333333333344</v>
      </c>
      <c r="H34" s="571">
        <f t="shared" si="1"/>
        <v>59.54699999999999</v>
      </c>
      <c r="I34" s="571">
        <f t="shared" si="1"/>
        <v>37.44233333333333</v>
      </c>
      <c r="J34" s="571">
        <f t="shared" si="1"/>
        <v>72.197666666666677</v>
      </c>
      <c r="K34" s="571">
        <f t="shared" si="1"/>
        <v>108.72033333333337</v>
      </c>
      <c r="L34" s="571">
        <f t="shared" si="1"/>
        <v>53.759000000000007</v>
      </c>
      <c r="M34" s="571">
        <f t="shared" si="1"/>
        <v>134.31966666666668</v>
      </c>
      <c r="N34" s="571">
        <f t="shared" si="1"/>
        <v>119.24333333333334</v>
      </c>
      <c r="O34" s="571">
        <f t="shared" si="1"/>
        <v>56.355999999999995</v>
      </c>
      <c r="P34" s="571">
        <f t="shared" si="1"/>
        <v>82.63633333333334</v>
      </c>
      <c r="Q34" s="571">
        <f t="shared" si="1"/>
        <v>67.23366666666665</v>
      </c>
      <c r="R34" s="571">
        <f t="shared" si="1"/>
        <v>59.228333333333332</v>
      </c>
      <c r="S34" s="571">
        <f t="shared" si="1"/>
        <v>45.596999999999994</v>
      </c>
      <c r="T34" s="571">
        <f t="shared" si="1"/>
        <v>41.818333333333335</v>
      </c>
      <c r="U34" s="571">
        <f t="shared" si="1"/>
        <v>66.259</v>
      </c>
      <c r="V34" s="571">
        <f t="shared" si="1"/>
        <v>10.270000000000001</v>
      </c>
      <c r="W34" s="571">
        <f t="shared" si="1"/>
        <v>116.03466666666668</v>
      </c>
      <c r="X34" s="571">
        <f>AVERAGE(X3:X32)</f>
        <v>90.410333333333327</v>
      </c>
      <c r="Y34" s="571">
        <f t="shared" si="1"/>
        <v>67.903333333333336</v>
      </c>
      <c r="Z34" s="571">
        <f t="shared" si="1"/>
        <v>57.101666666666681</v>
      </c>
      <c r="AA34" s="571">
        <f t="shared" si="1"/>
        <v>44.41</v>
      </c>
      <c r="AB34" s="571">
        <f t="shared" si="1"/>
        <v>78.324333333333342</v>
      </c>
      <c r="AC34" s="571">
        <f t="shared" si="1"/>
        <v>17.052666666666667</v>
      </c>
      <c r="AD34" s="571">
        <f t="shared" si="1"/>
        <v>92.590666666666678</v>
      </c>
      <c r="AE34" s="571">
        <f t="shared" si="1"/>
        <v>42.298999999999999</v>
      </c>
      <c r="AF34" s="571">
        <f t="shared" si="1"/>
        <v>35.318666666666665</v>
      </c>
      <c r="AG34" s="571">
        <f t="shared" si="1"/>
        <v>80.289666666666648</v>
      </c>
      <c r="AH34" s="571">
        <f t="shared" si="1"/>
        <v>72.958000000000013</v>
      </c>
      <c r="AI34" s="571">
        <f t="shared" si="1"/>
        <v>89.842000000000013</v>
      </c>
      <c r="AJ34" s="571">
        <f t="shared" si="1"/>
        <v>52.68399999999999</v>
      </c>
      <c r="AK34" s="571">
        <f t="shared" si="1"/>
        <v>107.15533333333336</v>
      </c>
      <c r="AL34" s="571">
        <f t="shared" si="1"/>
        <v>69.967500000000001</v>
      </c>
      <c r="AM34" s="571" t="e">
        <f t="shared" si="1"/>
        <v>#DIV/0!</v>
      </c>
      <c r="AN34" s="571" t="e">
        <f t="shared" si="1"/>
        <v>#DIV/0!</v>
      </c>
      <c r="AO34" s="571" t="e">
        <f t="shared" si="1"/>
        <v>#DIV/0!</v>
      </c>
    </row>
    <row r="35" spans="1:41">
      <c r="B35" s="569"/>
    </row>
    <row r="36" spans="1:41">
      <c r="B36" s="569"/>
    </row>
    <row r="37" spans="1:41" s="5" customFormat="1" ht="13">
      <c r="A37" s="5" t="s">
        <v>21</v>
      </c>
      <c r="B37" s="572" t="s">
        <v>1464</v>
      </c>
    </row>
  </sheetData>
  <pageMargins left="0.7" right="0.7" top="0.75" bottom="0.75" header="0.3" footer="0.3"/>
  <pageSetup orientation="portrait" r:id="rId1"/>
  <legacy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6691B-5761-4F3C-AEE9-59C56243A25B}">
  <sheetPr codeName="Sheet29"/>
  <dimension ref="A1:BB37"/>
  <sheetViews>
    <sheetView zoomScaleNormal="100" workbookViewId="0"/>
  </sheetViews>
  <sheetFormatPr defaultColWidth="8.7265625" defaultRowHeight="15.5"/>
  <cols>
    <col min="1" max="1" width="3.54296875" style="4" customWidth="1"/>
    <col min="2" max="2" width="11.26953125" style="4" bestFit="1" customWidth="1"/>
    <col min="3" max="23" width="9.26953125" style="4" bestFit="1" customWidth="1"/>
    <col min="24" max="42" width="9.26953125" style="4" customWidth="1"/>
    <col min="43" max="55" width="9.26953125" style="4" bestFit="1" customWidth="1"/>
    <col min="56" max="16384" width="8.7265625" style="4"/>
  </cols>
  <sheetData>
    <row r="1" spans="1:54">
      <c r="B1" s="91"/>
      <c r="C1" s="180">
        <v>1</v>
      </c>
      <c r="D1" s="180">
        <f>C1+1</f>
        <v>2</v>
      </c>
      <c r="E1" s="180">
        <f t="shared" ref="E1:BB1" si="0">D1+1</f>
        <v>3</v>
      </c>
      <c r="F1" s="180">
        <f t="shared" si="0"/>
        <v>4</v>
      </c>
      <c r="G1" s="180">
        <f t="shared" si="0"/>
        <v>5</v>
      </c>
      <c r="H1" s="180">
        <f t="shared" si="0"/>
        <v>6</v>
      </c>
      <c r="I1" s="180">
        <f t="shared" si="0"/>
        <v>7</v>
      </c>
      <c r="J1" s="180">
        <f t="shared" si="0"/>
        <v>8</v>
      </c>
      <c r="K1" s="180">
        <f t="shared" si="0"/>
        <v>9</v>
      </c>
      <c r="L1" s="180">
        <f t="shared" si="0"/>
        <v>10</v>
      </c>
      <c r="M1" s="180">
        <f t="shared" si="0"/>
        <v>11</v>
      </c>
      <c r="N1" s="180">
        <f t="shared" si="0"/>
        <v>12</v>
      </c>
      <c r="O1" s="180">
        <f t="shared" si="0"/>
        <v>13</v>
      </c>
      <c r="P1" s="180">
        <f t="shared" si="0"/>
        <v>14</v>
      </c>
      <c r="Q1" s="180">
        <f t="shared" si="0"/>
        <v>15</v>
      </c>
      <c r="R1" s="180">
        <f t="shared" si="0"/>
        <v>16</v>
      </c>
      <c r="S1" s="180">
        <f t="shared" si="0"/>
        <v>17</v>
      </c>
      <c r="T1" s="180">
        <f t="shared" si="0"/>
        <v>18</v>
      </c>
      <c r="U1" s="180">
        <f t="shared" si="0"/>
        <v>19</v>
      </c>
      <c r="V1" s="180">
        <f t="shared" si="0"/>
        <v>20</v>
      </c>
      <c r="W1" s="180">
        <f t="shared" si="0"/>
        <v>21</v>
      </c>
      <c r="X1" s="180">
        <f t="shared" si="0"/>
        <v>22</v>
      </c>
      <c r="Y1" s="180">
        <f t="shared" si="0"/>
        <v>23</v>
      </c>
      <c r="Z1" s="180">
        <f t="shared" si="0"/>
        <v>24</v>
      </c>
      <c r="AA1" s="180">
        <f t="shared" si="0"/>
        <v>25</v>
      </c>
      <c r="AB1" s="180">
        <f t="shared" si="0"/>
        <v>26</v>
      </c>
      <c r="AC1" s="180">
        <f t="shared" si="0"/>
        <v>27</v>
      </c>
      <c r="AD1" s="180">
        <f t="shared" si="0"/>
        <v>28</v>
      </c>
      <c r="AE1" s="180">
        <f t="shared" si="0"/>
        <v>29</v>
      </c>
      <c r="AF1" s="180">
        <f t="shared" si="0"/>
        <v>30</v>
      </c>
      <c r="AG1" s="180">
        <f t="shared" si="0"/>
        <v>31</v>
      </c>
      <c r="AH1" s="180">
        <f t="shared" si="0"/>
        <v>32</v>
      </c>
      <c r="AI1" s="180">
        <f t="shared" si="0"/>
        <v>33</v>
      </c>
      <c r="AJ1" s="180">
        <f t="shared" si="0"/>
        <v>34</v>
      </c>
      <c r="AK1" s="180">
        <f t="shared" si="0"/>
        <v>35</v>
      </c>
      <c r="AL1" s="180">
        <f t="shared" si="0"/>
        <v>36</v>
      </c>
      <c r="AM1" s="180">
        <f t="shared" si="0"/>
        <v>37</v>
      </c>
      <c r="AN1" s="180">
        <f t="shared" si="0"/>
        <v>38</v>
      </c>
      <c r="AO1" s="180">
        <f t="shared" si="0"/>
        <v>39</v>
      </c>
      <c r="AP1" s="180">
        <f t="shared" si="0"/>
        <v>40</v>
      </c>
      <c r="AQ1" s="180">
        <f t="shared" si="0"/>
        <v>41</v>
      </c>
      <c r="AR1" s="180">
        <f t="shared" si="0"/>
        <v>42</v>
      </c>
      <c r="AS1" s="180">
        <f t="shared" si="0"/>
        <v>43</v>
      </c>
      <c r="AT1" s="180">
        <f t="shared" si="0"/>
        <v>44</v>
      </c>
      <c r="AU1" s="180">
        <f t="shared" si="0"/>
        <v>45</v>
      </c>
      <c r="AV1" s="180">
        <f t="shared" si="0"/>
        <v>46</v>
      </c>
      <c r="AW1" s="180">
        <f t="shared" si="0"/>
        <v>47</v>
      </c>
      <c r="AX1" s="180">
        <f t="shared" si="0"/>
        <v>48</v>
      </c>
      <c r="AY1" s="180">
        <f t="shared" si="0"/>
        <v>49</v>
      </c>
      <c r="AZ1" s="180">
        <f t="shared" si="0"/>
        <v>50</v>
      </c>
      <c r="BA1" s="180">
        <f t="shared" si="0"/>
        <v>51</v>
      </c>
      <c r="BB1" s="180">
        <f t="shared" si="0"/>
        <v>52</v>
      </c>
    </row>
    <row r="2" spans="1:54" s="7" customFormat="1" ht="15">
      <c r="A2" s="116"/>
      <c r="B2" s="17" t="s">
        <v>514</v>
      </c>
      <c r="C2" s="116" t="str">
        <f t="array" ref="C2:BB2">TRANSPOSE('Proxy Group Risk Measures'!C45:C90)</f>
        <v>ABT</v>
      </c>
      <c r="D2" s="116" t="str">
        <v>ABBV</v>
      </c>
      <c r="E2" s="116" t="str">
        <v>DOX</v>
      </c>
      <c r="F2" s="116" t="str">
        <v>AMGN</v>
      </c>
      <c r="G2" s="116" t="str">
        <v>ATR</v>
      </c>
      <c r="H2" s="116" t="str">
        <v>ADP</v>
      </c>
      <c r="I2" s="116" t="str">
        <v>BMY</v>
      </c>
      <c r="J2" s="116" t="str">
        <v>BF/B</v>
      </c>
      <c r="K2" s="116" t="str">
        <v>CHD</v>
      </c>
      <c r="L2" s="116" t="str">
        <v>CSCO</v>
      </c>
      <c r="M2" s="116" t="str">
        <v>CME</v>
      </c>
      <c r="N2" s="116" t="str">
        <v>KO</v>
      </c>
      <c r="O2" s="116" t="str">
        <v>CL</v>
      </c>
      <c r="P2" s="116" t="str">
        <v>COST</v>
      </c>
      <c r="Q2" s="116" t="str">
        <v>EA</v>
      </c>
      <c r="R2" s="116" t="str">
        <v>AJG</v>
      </c>
      <c r="S2" s="116" t="str">
        <v>GD</v>
      </c>
      <c r="T2" s="116" t="str">
        <v>GIS</v>
      </c>
      <c r="U2" s="116" t="str">
        <v>GILD</v>
      </c>
      <c r="V2" s="116" t="str">
        <v>HSY</v>
      </c>
      <c r="W2" s="116" t="str">
        <v>HD</v>
      </c>
      <c r="X2" s="116" t="str">
        <v>HRL</v>
      </c>
      <c r="Y2" s="116" t="str">
        <v>IBM</v>
      </c>
      <c r="Z2" s="116" t="str">
        <v>JNJ</v>
      </c>
      <c r="AA2" s="116" t="str">
        <v>KMB</v>
      </c>
      <c r="AB2" s="116" t="str">
        <v>LLY</v>
      </c>
      <c r="AC2" s="116" t="str">
        <v>LMT</v>
      </c>
      <c r="AD2" s="116" t="str">
        <v>MMC</v>
      </c>
      <c r="AE2" s="116" t="str">
        <v>MCD</v>
      </c>
      <c r="AF2" s="116" t="str">
        <v>MCK</v>
      </c>
      <c r="AG2" s="116" t="str">
        <v>MRK</v>
      </c>
      <c r="AH2" s="116" t="str">
        <v>MSFT</v>
      </c>
      <c r="AI2" s="116" t="str">
        <v>MDLZ</v>
      </c>
      <c r="AJ2" s="116" t="str">
        <v>NEU</v>
      </c>
      <c r="AK2" s="116" t="str">
        <v>NOC</v>
      </c>
      <c r="AL2" s="116" t="str">
        <v>PEP</v>
      </c>
      <c r="AM2" s="116" t="str">
        <v>PG</v>
      </c>
      <c r="AN2" s="116" t="str">
        <v>PGR</v>
      </c>
      <c r="AO2" s="116" t="str">
        <v>RSG</v>
      </c>
      <c r="AP2" s="116" t="str">
        <v>ROP</v>
      </c>
      <c r="AQ2" s="116" t="str">
        <v>TMO</v>
      </c>
      <c r="AR2" s="116" t="str">
        <v>TMUS</v>
      </c>
      <c r="AS2" s="116" t="str">
        <v>VZ</v>
      </c>
      <c r="AT2" s="116" t="str">
        <v>WMT</v>
      </c>
      <c r="AU2" s="116" t="str">
        <v>WM</v>
      </c>
      <c r="AV2" s="116">
        <v>0</v>
      </c>
      <c r="AW2" s="116" t="e">
        <v>#N/A</v>
      </c>
      <c r="AX2" s="116" t="e">
        <v>#N/A</v>
      </c>
      <c r="AY2" s="116" t="e">
        <v>#N/A</v>
      </c>
      <c r="AZ2" s="116" t="e">
        <v>#N/A</v>
      </c>
      <c r="BA2" s="116" t="e">
        <v>#N/A</v>
      </c>
      <c r="BB2" s="116" t="e">
        <v>#N/A</v>
      </c>
    </row>
    <row r="3" spans="1:54">
      <c r="A3" s="162">
        <f t="shared" ref="A3:A32" si="1">A2+1</f>
        <v>1</v>
      </c>
      <c r="B3" s="559">
        <v>45796</v>
      </c>
      <c r="C3" s="560">
        <v>135.55000000000001</v>
      </c>
      <c r="D3" s="560">
        <v>185.71</v>
      </c>
      <c r="E3" s="560">
        <v>167.87</v>
      </c>
      <c r="F3" s="560">
        <v>91.22</v>
      </c>
      <c r="G3" s="560">
        <v>275.85000000000002</v>
      </c>
      <c r="H3" s="560">
        <v>158.08000000000001</v>
      </c>
      <c r="I3" s="560">
        <v>322.95999999999998</v>
      </c>
      <c r="J3" s="560">
        <v>47.22</v>
      </c>
      <c r="K3" s="560">
        <v>112</v>
      </c>
      <c r="L3" s="560">
        <v>35.65</v>
      </c>
      <c r="M3" s="560">
        <v>95.97</v>
      </c>
      <c r="N3" s="560">
        <v>63.92</v>
      </c>
      <c r="O3" s="560">
        <v>277.94</v>
      </c>
      <c r="P3" s="560">
        <v>71.930000000000007</v>
      </c>
      <c r="Q3" s="560">
        <v>91.74</v>
      </c>
      <c r="R3" s="560">
        <v>35.44</v>
      </c>
      <c r="S3" s="560">
        <v>1034.3399999999999</v>
      </c>
      <c r="T3" s="560">
        <v>150.47999999999999</v>
      </c>
      <c r="U3" s="561">
        <v>343.82</v>
      </c>
      <c r="V3" s="560">
        <v>281.37</v>
      </c>
      <c r="W3" s="560">
        <v>54.83</v>
      </c>
      <c r="X3" s="560">
        <v>106.16</v>
      </c>
      <c r="Y3" s="560">
        <v>156.55000000000001</v>
      </c>
      <c r="Z3" s="560">
        <v>379.38</v>
      </c>
      <c r="AA3" s="560">
        <v>30.12</v>
      </c>
      <c r="AB3" s="560">
        <v>189.93</v>
      </c>
      <c r="AC3" s="560">
        <v>251.71</v>
      </c>
      <c r="AD3" s="560">
        <v>176.75</v>
      </c>
      <c r="AE3" s="560">
        <v>268.41000000000003</v>
      </c>
      <c r="AF3" s="560">
        <v>152.49</v>
      </c>
      <c r="AG3" s="560">
        <v>140.79</v>
      </c>
      <c r="AH3" s="560">
        <v>755.11</v>
      </c>
      <c r="AI3" s="560">
        <v>473.06</v>
      </c>
      <c r="AJ3" s="560">
        <v>231.84</v>
      </c>
      <c r="AK3" s="560">
        <v>321.23</v>
      </c>
      <c r="AL3" s="560">
        <v>726.4</v>
      </c>
      <c r="AM3" s="560">
        <v>77.23</v>
      </c>
      <c r="AN3" s="560">
        <v>458.87</v>
      </c>
      <c r="AO3" s="560">
        <v>65.72</v>
      </c>
      <c r="AP3" s="560">
        <v>650.80999999999995</v>
      </c>
      <c r="AQ3" s="560">
        <v>471.12</v>
      </c>
      <c r="AR3" s="560">
        <v>131.79</v>
      </c>
      <c r="AS3" s="560">
        <v>164.77</v>
      </c>
      <c r="AT3" s="560">
        <v>288.24</v>
      </c>
      <c r="AU3" s="560">
        <v>250.37</v>
      </c>
      <c r="AV3" s="560">
        <v>580.47</v>
      </c>
      <c r="AW3" s="560">
        <v>413.92</v>
      </c>
      <c r="AX3" s="560">
        <v>244.25</v>
      </c>
      <c r="AY3" s="561">
        <v>274.54000000000002</v>
      </c>
      <c r="AZ3" s="561">
        <v>44.31</v>
      </c>
      <c r="BA3" s="561">
        <v>98.12</v>
      </c>
      <c r="BB3" s="561">
        <v>231.95</v>
      </c>
    </row>
    <row r="4" spans="1:54">
      <c r="A4" s="162">
        <f t="shared" si="1"/>
        <v>2</v>
      </c>
      <c r="B4" s="559">
        <v>45793</v>
      </c>
      <c r="C4" s="560">
        <v>134.80000000000001</v>
      </c>
      <c r="D4" s="560">
        <v>184.02</v>
      </c>
      <c r="E4" s="560">
        <v>167.43</v>
      </c>
      <c r="F4" s="560">
        <v>91.38</v>
      </c>
      <c r="G4" s="560">
        <v>272.41000000000003</v>
      </c>
      <c r="H4" s="560">
        <v>157.01</v>
      </c>
      <c r="I4" s="560">
        <v>319.37</v>
      </c>
      <c r="J4" s="560">
        <v>46.75</v>
      </c>
      <c r="K4" s="560">
        <v>111.77</v>
      </c>
      <c r="L4" s="560">
        <v>36.090000000000003</v>
      </c>
      <c r="M4" s="560">
        <v>95.82</v>
      </c>
      <c r="N4" s="560">
        <v>63.62</v>
      </c>
      <c r="O4" s="560">
        <v>276.29000000000002</v>
      </c>
      <c r="P4" s="560">
        <v>72</v>
      </c>
      <c r="Q4" s="560">
        <v>91.23</v>
      </c>
      <c r="R4" s="560">
        <v>35.479999999999997</v>
      </c>
      <c r="S4" s="560">
        <v>1025.83</v>
      </c>
      <c r="T4" s="560">
        <v>151.54</v>
      </c>
      <c r="U4" s="561">
        <v>342.24</v>
      </c>
      <c r="V4" s="560">
        <v>280.70999999999998</v>
      </c>
      <c r="W4" s="560">
        <v>55.13</v>
      </c>
      <c r="X4" s="560">
        <v>102.5</v>
      </c>
      <c r="Y4" s="560">
        <v>158.49</v>
      </c>
      <c r="Z4" s="560">
        <v>380.78</v>
      </c>
      <c r="AA4" s="560">
        <v>30.53</v>
      </c>
      <c r="AB4" s="560">
        <v>190.85</v>
      </c>
      <c r="AC4" s="560">
        <v>251.34</v>
      </c>
      <c r="AD4" s="560">
        <v>176.25</v>
      </c>
      <c r="AE4" s="560">
        <v>266.76</v>
      </c>
      <c r="AF4" s="560">
        <v>151.33000000000001</v>
      </c>
      <c r="AG4" s="560">
        <v>139.07</v>
      </c>
      <c r="AH4" s="560">
        <v>757.39</v>
      </c>
      <c r="AI4" s="560">
        <v>468.32</v>
      </c>
      <c r="AJ4" s="560">
        <v>231.39</v>
      </c>
      <c r="AK4" s="560">
        <v>318.61</v>
      </c>
      <c r="AL4" s="560">
        <v>724.18</v>
      </c>
      <c r="AM4" s="560">
        <v>76.06</v>
      </c>
      <c r="AN4" s="560">
        <v>454.27</v>
      </c>
      <c r="AO4" s="560">
        <v>65.319999999999993</v>
      </c>
      <c r="AP4" s="560">
        <v>650.29999999999995</v>
      </c>
      <c r="AQ4" s="560">
        <v>473.17</v>
      </c>
      <c r="AR4" s="560">
        <v>131.97999999999999</v>
      </c>
      <c r="AS4" s="560">
        <v>163.28</v>
      </c>
      <c r="AT4" s="560">
        <v>286.02999999999997</v>
      </c>
      <c r="AU4" s="560">
        <v>247.79</v>
      </c>
      <c r="AV4" s="560">
        <v>582.88</v>
      </c>
      <c r="AW4" s="560">
        <v>412.06</v>
      </c>
      <c r="AX4" s="560">
        <v>242.66</v>
      </c>
      <c r="AY4" s="561">
        <v>273.63</v>
      </c>
      <c r="AZ4" s="561">
        <v>43.99</v>
      </c>
      <c r="BA4" s="561">
        <v>98.24</v>
      </c>
      <c r="BB4" s="561">
        <v>229.87</v>
      </c>
    </row>
    <row r="5" spans="1:54">
      <c r="A5" s="162">
        <f t="shared" si="1"/>
        <v>3</v>
      </c>
      <c r="B5" s="559">
        <v>45792</v>
      </c>
      <c r="C5" s="560">
        <v>133.35</v>
      </c>
      <c r="D5" s="560">
        <v>181.68</v>
      </c>
      <c r="E5" s="560">
        <v>165.4</v>
      </c>
      <c r="F5" s="560">
        <v>90.68</v>
      </c>
      <c r="G5" s="560">
        <v>271.69</v>
      </c>
      <c r="H5" s="560">
        <v>154.94999999999999</v>
      </c>
      <c r="I5" s="560">
        <v>315.85000000000002</v>
      </c>
      <c r="J5" s="560">
        <v>45.81</v>
      </c>
      <c r="K5" s="560">
        <v>110.56</v>
      </c>
      <c r="L5" s="560">
        <v>35.58</v>
      </c>
      <c r="M5" s="560">
        <v>94.56</v>
      </c>
      <c r="N5" s="560">
        <v>64.260000000000005</v>
      </c>
      <c r="O5" s="560">
        <v>274</v>
      </c>
      <c r="P5" s="560">
        <v>71.61</v>
      </c>
      <c r="Q5" s="560">
        <v>89.63</v>
      </c>
      <c r="R5" s="560">
        <v>35.33</v>
      </c>
      <c r="S5" s="560">
        <v>1010.47</v>
      </c>
      <c r="T5" s="560">
        <v>149.57</v>
      </c>
      <c r="U5" s="561">
        <v>338.28</v>
      </c>
      <c r="V5" s="560">
        <v>278.51</v>
      </c>
      <c r="W5" s="560">
        <v>54.4</v>
      </c>
      <c r="X5" s="560">
        <v>100.34</v>
      </c>
      <c r="Y5" s="560">
        <v>163.69</v>
      </c>
      <c r="Z5" s="560">
        <v>378.63</v>
      </c>
      <c r="AA5" s="560">
        <v>30.16</v>
      </c>
      <c r="AB5" s="560">
        <v>189.56</v>
      </c>
      <c r="AC5" s="560">
        <v>247.97</v>
      </c>
      <c r="AD5" s="560">
        <v>174.85</v>
      </c>
      <c r="AE5" s="560">
        <v>266.68</v>
      </c>
      <c r="AF5" s="560">
        <v>149.61000000000001</v>
      </c>
      <c r="AG5" s="560">
        <v>137.35</v>
      </c>
      <c r="AH5" s="560">
        <v>733.29</v>
      </c>
      <c r="AI5" s="560">
        <v>465.14</v>
      </c>
      <c r="AJ5" s="560">
        <v>227.24</v>
      </c>
      <c r="AK5" s="560">
        <v>314.48</v>
      </c>
      <c r="AL5" s="560">
        <v>706.76</v>
      </c>
      <c r="AM5" s="560">
        <v>74.8</v>
      </c>
      <c r="AN5" s="560">
        <v>453.13</v>
      </c>
      <c r="AO5" s="560">
        <v>65.14</v>
      </c>
      <c r="AP5" s="560">
        <v>646.16999999999996</v>
      </c>
      <c r="AQ5" s="560">
        <v>469.05</v>
      </c>
      <c r="AR5" s="560">
        <v>131.5</v>
      </c>
      <c r="AS5" s="560">
        <v>162.41</v>
      </c>
      <c r="AT5" s="560">
        <v>281.14999999999998</v>
      </c>
      <c r="AU5" s="560">
        <v>244.96</v>
      </c>
      <c r="AV5" s="560">
        <v>574.4</v>
      </c>
      <c r="AW5" s="560">
        <v>404.93</v>
      </c>
      <c r="AX5" s="560">
        <v>240.16</v>
      </c>
      <c r="AY5" s="561">
        <v>270.89999999999998</v>
      </c>
      <c r="AZ5" s="561">
        <v>43.48</v>
      </c>
      <c r="BA5" s="561">
        <v>96.35</v>
      </c>
      <c r="BB5" s="561">
        <v>228.02</v>
      </c>
    </row>
    <row r="6" spans="1:54">
      <c r="A6" s="162">
        <f t="shared" si="1"/>
        <v>4</v>
      </c>
      <c r="B6" s="559">
        <v>45791</v>
      </c>
      <c r="C6" s="560">
        <v>128.56</v>
      </c>
      <c r="D6" s="560">
        <v>177.44</v>
      </c>
      <c r="E6" s="560">
        <v>166.81</v>
      </c>
      <c r="F6" s="560">
        <v>89.67</v>
      </c>
      <c r="G6" s="560">
        <v>262.27999999999997</v>
      </c>
      <c r="H6" s="560">
        <v>152.47999999999999</v>
      </c>
      <c r="I6" s="560">
        <v>309.41000000000003</v>
      </c>
      <c r="J6" s="560">
        <v>44.12</v>
      </c>
      <c r="K6" s="560">
        <v>108.27</v>
      </c>
      <c r="L6" s="560">
        <v>34.83</v>
      </c>
      <c r="M6" s="560">
        <v>93.16</v>
      </c>
      <c r="N6" s="560">
        <v>61.29</v>
      </c>
      <c r="O6" s="560">
        <v>266.27999999999997</v>
      </c>
      <c r="P6" s="560">
        <v>69.16</v>
      </c>
      <c r="Q6" s="560">
        <v>87.57</v>
      </c>
      <c r="R6" s="560">
        <v>34.56</v>
      </c>
      <c r="S6" s="560">
        <v>991.54</v>
      </c>
      <c r="T6" s="560">
        <v>147.22999999999999</v>
      </c>
      <c r="U6" s="561">
        <v>329.64</v>
      </c>
      <c r="V6" s="560">
        <v>270.69</v>
      </c>
      <c r="W6" s="560">
        <v>53.28</v>
      </c>
      <c r="X6" s="560">
        <v>98.38</v>
      </c>
      <c r="Y6" s="560">
        <v>161.72</v>
      </c>
      <c r="Z6" s="560">
        <v>372.81</v>
      </c>
      <c r="AA6" s="560">
        <v>29.16</v>
      </c>
      <c r="AB6" s="560">
        <v>188.47</v>
      </c>
      <c r="AC6" s="560">
        <v>245.14</v>
      </c>
      <c r="AD6" s="560">
        <v>171.94</v>
      </c>
      <c r="AE6" s="560">
        <v>257.82</v>
      </c>
      <c r="AF6" s="560">
        <v>146.36000000000001</v>
      </c>
      <c r="AG6" s="560">
        <v>133.51</v>
      </c>
      <c r="AH6" s="560">
        <v>715.56</v>
      </c>
      <c r="AI6" s="560">
        <v>449.18</v>
      </c>
      <c r="AJ6" s="560">
        <v>222.51</v>
      </c>
      <c r="AK6" s="560">
        <v>307.5</v>
      </c>
      <c r="AL6" s="560">
        <v>682.28</v>
      </c>
      <c r="AM6" s="560">
        <v>73.47</v>
      </c>
      <c r="AN6" s="560">
        <v>452.94</v>
      </c>
      <c r="AO6" s="560">
        <v>63.54</v>
      </c>
      <c r="AP6" s="560">
        <v>633.79</v>
      </c>
      <c r="AQ6" s="560">
        <v>456.3</v>
      </c>
      <c r="AR6" s="560">
        <v>128.44999999999999</v>
      </c>
      <c r="AS6" s="560">
        <v>158.02000000000001</v>
      </c>
      <c r="AT6" s="560">
        <v>278.17</v>
      </c>
      <c r="AU6" s="560">
        <v>238.07</v>
      </c>
      <c r="AV6" s="560">
        <v>565.94000000000005</v>
      </c>
      <c r="AW6" s="560">
        <v>406.05</v>
      </c>
      <c r="AX6" s="560">
        <v>235.29</v>
      </c>
      <c r="AY6" s="561">
        <v>262.58999999999997</v>
      </c>
      <c r="AZ6" s="561">
        <v>42.35</v>
      </c>
      <c r="BA6" s="561">
        <v>96.83</v>
      </c>
      <c r="BB6" s="561">
        <v>222.47</v>
      </c>
    </row>
    <row r="7" spans="1:54">
      <c r="A7" s="162">
        <f t="shared" si="1"/>
        <v>5</v>
      </c>
      <c r="B7" s="559">
        <v>45790</v>
      </c>
      <c r="C7" s="560">
        <v>129.05000000000001</v>
      </c>
      <c r="D7" s="560">
        <v>188</v>
      </c>
      <c r="E7" s="560">
        <v>160.88999999999999</v>
      </c>
      <c r="F7" s="560">
        <v>91.12</v>
      </c>
      <c r="G7" s="560">
        <v>270.45</v>
      </c>
      <c r="H7" s="560">
        <v>153.63999999999999</v>
      </c>
      <c r="I7" s="560">
        <v>308.19</v>
      </c>
      <c r="J7" s="560">
        <v>46.59</v>
      </c>
      <c r="K7" s="560">
        <v>109.02</v>
      </c>
      <c r="L7" s="560">
        <v>34.94</v>
      </c>
      <c r="M7" s="560">
        <v>94.1</v>
      </c>
      <c r="N7" s="560">
        <v>61.78</v>
      </c>
      <c r="O7" s="560">
        <v>268.33999999999997</v>
      </c>
      <c r="P7" s="560">
        <v>68.959999999999994</v>
      </c>
      <c r="Q7" s="560">
        <v>87.88</v>
      </c>
      <c r="R7" s="560">
        <v>34.79</v>
      </c>
      <c r="S7" s="560">
        <v>999.03</v>
      </c>
      <c r="T7" s="560">
        <v>149.06</v>
      </c>
      <c r="U7" s="561">
        <v>332.7</v>
      </c>
      <c r="V7" s="560">
        <v>273.02</v>
      </c>
      <c r="W7" s="560">
        <v>53.77</v>
      </c>
      <c r="X7" s="560">
        <v>101.43</v>
      </c>
      <c r="Y7" s="560">
        <v>163.30000000000001</v>
      </c>
      <c r="Z7" s="560">
        <v>373.6</v>
      </c>
      <c r="AA7" s="560">
        <v>29.27</v>
      </c>
      <c r="AB7" s="560">
        <v>190.31</v>
      </c>
      <c r="AC7" s="560">
        <v>249.14</v>
      </c>
      <c r="AD7" s="560">
        <v>172.84</v>
      </c>
      <c r="AE7" s="560">
        <v>258.58999999999997</v>
      </c>
      <c r="AF7" s="560">
        <v>148.44</v>
      </c>
      <c r="AG7" s="560">
        <v>134.03</v>
      </c>
      <c r="AH7" s="560">
        <v>746.06</v>
      </c>
      <c r="AI7" s="560">
        <v>459.83</v>
      </c>
      <c r="AJ7" s="560">
        <v>223.77</v>
      </c>
      <c r="AK7" s="560">
        <v>308.69</v>
      </c>
      <c r="AL7" s="560">
        <v>687.78</v>
      </c>
      <c r="AM7" s="560">
        <v>76.63</v>
      </c>
      <c r="AN7" s="560">
        <v>449.14</v>
      </c>
      <c r="AO7" s="560">
        <v>64.14</v>
      </c>
      <c r="AP7" s="560">
        <v>632.11</v>
      </c>
      <c r="AQ7" s="560">
        <v>470.67</v>
      </c>
      <c r="AR7" s="560">
        <v>130.31</v>
      </c>
      <c r="AS7" s="560">
        <v>158.72999999999999</v>
      </c>
      <c r="AT7" s="560">
        <v>282.58999999999997</v>
      </c>
      <c r="AU7" s="560">
        <v>237.99</v>
      </c>
      <c r="AV7" s="560">
        <v>577.07000000000005</v>
      </c>
      <c r="AW7" s="560">
        <v>428.95</v>
      </c>
      <c r="AX7" s="560">
        <v>237.34</v>
      </c>
      <c r="AY7" s="561">
        <v>264.92</v>
      </c>
      <c r="AZ7" s="561">
        <v>42.65</v>
      </c>
      <c r="BA7" s="561">
        <v>95.88</v>
      </c>
      <c r="BB7" s="561">
        <v>222.38</v>
      </c>
    </row>
    <row r="8" spans="1:54">
      <c r="A8" s="162">
        <f t="shared" si="1"/>
        <v>6</v>
      </c>
      <c r="B8" s="559">
        <v>45789</v>
      </c>
      <c r="C8" s="560">
        <v>131.99</v>
      </c>
      <c r="D8" s="560">
        <v>190.07</v>
      </c>
      <c r="E8" s="560">
        <v>159.58000000000001</v>
      </c>
      <c r="F8" s="560">
        <v>92.3</v>
      </c>
      <c r="G8" s="560">
        <v>274.76</v>
      </c>
      <c r="H8" s="560">
        <v>155.52000000000001</v>
      </c>
      <c r="I8" s="560">
        <v>309.38</v>
      </c>
      <c r="J8" s="560">
        <v>48.18</v>
      </c>
      <c r="K8" s="560">
        <v>110.76</v>
      </c>
      <c r="L8" s="560">
        <v>35.28</v>
      </c>
      <c r="M8" s="560">
        <v>95.18</v>
      </c>
      <c r="N8" s="560">
        <v>61.67</v>
      </c>
      <c r="O8" s="560">
        <v>270.47000000000003</v>
      </c>
      <c r="P8" s="560">
        <v>69.53</v>
      </c>
      <c r="Q8" s="560">
        <v>89.14</v>
      </c>
      <c r="R8" s="560">
        <v>34.72</v>
      </c>
      <c r="S8" s="560">
        <v>1016.15</v>
      </c>
      <c r="T8" s="560">
        <v>149.27000000000001</v>
      </c>
      <c r="U8" s="561">
        <v>331.28</v>
      </c>
      <c r="V8" s="560">
        <v>276.24</v>
      </c>
      <c r="W8" s="560">
        <v>54.84</v>
      </c>
      <c r="X8" s="560">
        <v>103.82</v>
      </c>
      <c r="Y8" s="560">
        <v>167.58</v>
      </c>
      <c r="Z8" s="560">
        <v>376.59</v>
      </c>
      <c r="AA8" s="560">
        <v>29.55</v>
      </c>
      <c r="AB8" s="560">
        <v>191.29</v>
      </c>
      <c r="AC8" s="560">
        <v>250.31</v>
      </c>
      <c r="AD8" s="560">
        <v>173.44</v>
      </c>
      <c r="AE8" s="560">
        <v>253.69</v>
      </c>
      <c r="AF8" s="560">
        <v>154.13999999999999</v>
      </c>
      <c r="AG8" s="560">
        <v>136.66999999999999</v>
      </c>
      <c r="AH8" s="560">
        <v>755.57</v>
      </c>
      <c r="AI8" s="560">
        <v>473.16</v>
      </c>
      <c r="AJ8" s="560">
        <v>227.03</v>
      </c>
      <c r="AK8" s="560">
        <v>311.92</v>
      </c>
      <c r="AL8" s="560">
        <v>687.52</v>
      </c>
      <c r="AM8" s="560">
        <v>80.430000000000007</v>
      </c>
      <c r="AN8" s="560">
        <v>449.26</v>
      </c>
      <c r="AO8" s="560">
        <v>65.83</v>
      </c>
      <c r="AP8" s="560">
        <v>636.65</v>
      </c>
      <c r="AQ8" s="560">
        <v>479.16</v>
      </c>
      <c r="AR8" s="560">
        <v>131.68</v>
      </c>
      <c r="AS8" s="560">
        <v>160.9</v>
      </c>
      <c r="AT8" s="560">
        <v>280.25</v>
      </c>
      <c r="AU8" s="560">
        <v>241.46</v>
      </c>
      <c r="AV8" s="560">
        <v>575.84</v>
      </c>
      <c r="AW8" s="560">
        <v>432.59</v>
      </c>
      <c r="AX8" s="560">
        <v>240.32</v>
      </c>
      <c r="AY8" s="561">
        <v>268.06</v>
      </c>
      <c r="AZ8" s="561">
        <v>43</v>
      </c>
      <c r="BA8" s="561">
        <v>96.75</v>
      </c>
      <c r="BB8" s="561">
        <v>225.57</v>
      </c>
    </row>
    <row r="9" spans="1:54">
      <c r="A9" s="162">
        <f t="shared" si="1"/>
        <v>7</v>
      </c>
      <c r="B9" s="559">
        <v>45786</v>
      </c>
      <c r="C9" s="560">
        <v>133.24</v>
      </c>
      <c r="D9" s="560">
        <v>184.6</v>
      </c>
      <c r="E9" s="560">
        <v>154.38</v>
      </c>
      <c r="F9" s="560">
        <v>91.48</v>
      </c>
      <c r="G9" s="560">
        <v>265.86</v>
      </c>
      <c r="H9" s="560">
        <v>153.32</v>
      </c>
      <c r="I9" s="560">
        <v>307.72000000000003</v>
      </c>
      <c r="J9" s="560">
        <v>46.45</v>
      </c>
      <c r="K9" s="560">
        <v>111.32</v>
      </c>
      <c r="L9" s="560">
        <v>34.659999999999997</v>
      </c>
      <c r="M9" s="560">
        <v>91.57</v>
      </c>
      <c r="N9" s="560">
        <v>59.77</v>
      </c>
      <c r="O9" s="560">
        <v>284.35000000000002</v>
      </c>
      <c r="P9" s="560">
        <v>70.52</v>
      </c>
      <c r="Q9" s="560">
        <v>89.81</v>
      </c>
      <c r="R9" s="560">
        <v>34.25</v>
      </c>
      <c r="S9" s="560">
        <v>1008.09</v>
      </c>
      <c r="T9" s="560">
        <v>153.30000000000001</v>
      </c>
      <c r="U9" s="561">
        <v>338.18</v>
      </c>
      <c r="V9" s="560">
        <v>271.56</v>
      </c>
      <c r="W9" s="560">
        <v>54.5</v>
      </c>
      <c r="X9" s="560">
        <v>96.91</v>
      </c>
      <c r="Y9" s="560">
        <v>170.9</v>
      </c>
      <c r="Z9" s="560">
        <v>362.71</v>
      </c>
      <c r="AA9" s="560">
        <v>29.21</v>
      </c>
      <c r="AB9" s="560">
        <v>183.47</v>
      </c>
      <c r="AC9" s="560">
        <v>242.5</v>
      </c>
      <c r="AD9" s="560">
        <v>178.33</v>
      </c>
      <c r="AE9" s="560">
        <v>249.2</v>
      </c>
      <c r="AF9" s="560">
        <v>154.22</v>
      </c>
      <c r="AG9" s="560">
        <v>133.05000000000001</v>
      </c>
      <c r="AH9" s="560">
        <v>734.57</v>
      </c>
      <c r="AI9" s="560">
        <v>473.52</v>
      </c>
      <c r="AJ9" s="560">
        <v>226.85</v>
      </c>
      <c r="AK9" s="560">
        <v>313.68</v>
      </c>
      <c r="AL9" s="560">
        <v>693.46</v>
      </c>
      <c r="AM9" s="560">
        <v>75.97</v>
      </c>
      <c r="AN9" s="560">
        <v>438.73</v>
      </c>
      <c r="AO9" s="560">
        <v>66.37</v>
      </c>
      <c r="AP9" s="560">
        <v>634.48</v>
      </c>
      <c r="AQ9" s="560">
        <v>482.62</v>
      </c>
      <c r="AR9" s="560">
        <v>130.44</v>
      </c>
      <c r="AS9" s="560">
        <v>157.66</v>
      </c>
      <c r="AT9" s="560">
        <v>284.51</v>
      </c>
      <c r="AU9" s="560">
        <v>248.58</v>
      </c>
      <c r="AV9" s="560">
        <v>570.48</v>
      </c>
      <c r="AW9" s="560">
        <v>403.13</v>
      </c>
      <c r="AX9" s="560">
        <v>243.81</v>
      </c>
      <c r="AY9" s="561">
        <v>269.75</v>
      </c>
      <c r="AZ9" s="561">
        <v>43.61</v>
      </c>
      <c r="BA9" s="561">
        <v>96.72</v>
      </c>
      <c r="BB9" s="561">
        <v>232.75</v>
      </c>
    </row>
    <row r="10" spans="1:54">
      <c r="A10" s="162">
        <f t="shared" si="1"/>
        <v>8</v>
      </c>
      <c r="B10" s="559">
        <v>45785</v>
      </c>
      <c r="C10" s="560">
        <v>134</v>
      </c>
      <c r="D10" s="560">
        <v>185.58</v>
      </c>
      <c r="E10" s="560">
        <v>155.75</v>
      </c>
      <c r="F10" s="560">
        <v>92.55</v>
      </c>
      <c r="G10" s="560">
        <v>272.05</v>
      </c>
      <c r="H10" s="560">
        <v>153.36000000000001</v>
      </c>
      <c r="I10" s="560">
        <v>307.08999999999997</v>
      </c>
      <c r="J10" s="560">
        <v>46.88</v>
      </c>
      <c r="K10" s="560">
        <v>111.53</v>
      </c>
      <c r="L10" s="560">
        <v>34.770000000000003</v>
      </c>
      <c r="M10" s="560">
        <v>92.18</v>
      </c>
      <c r="N10" s="560">
        <v>59.71</v>
      </c>
      <c r="O10" s="560">
        <v>281.99</v>
      </c>
      <c r="P10" s="560">
        <v>71.17</v>
      </c>
      <c r="Q10" s="560">
        <v>90.83</v>
      </c>
      <c r="R10" s="560">
        <v>34.22</v>
      </c>
      <c r="S10" s="560">
        <v>1007.71</v>
      </c>
      <c r="T10" s="560">
        <v>155.66</v>
      </c>
      <c r="U10" s="561">
        <v>338.47</v>
      </c>
      <c r="V10" s="560">
        <v>271.98</v>
      </c>
      <c r="W10" s="560">
        <v>54.71</v>
      </c>
      <c r="X10" s="560">
        <v>98.16</v>
      </c>
      <c r="Y10" s="560">
        <v>170.12</v>
      </c>
      <c r="Z10" s="560">
        <v>364.86</v>
      </c>
      <c r="AA10" s="560">
        <v>29.39</v>
      </c>
      <c r="AB10" s="560">
        <v>184.65</v>
      </c>
      <c r="AC10" s="560">
        <v>243.09</v>
      </c>
      <c r="AD10" s="560">
        <v>176.47</v>
      </c>
      <c r="AE10" s="560">
        <v>254.14</v>
      </c>
      <c r="AF10" s="560">
        <v>155.66</v>
      </c>
      <c r="AG10" s="560">
        <v>133.54</v>
      </c>
      <c r="AH10" s="560">
        <v>751.45</v>
      </c>
      <c r="AI10" s="560">
        <v>474.53</v>
      </c>
      <c r="AJ10" s="560">
        <v>228.43</v>
      </c>
      <c r="AK10" s="560">
        <v>313.49</v>
      </c>
      <c r="AL10" s="560">
        <v>690.25</v>
      </c>
      <c r="AM10" s="560">
        <v>77.650000000000006</v>
      </c>
      <c r="AN10" s="560">
        <v>438.17</v>
      </c>
      <c r="AO10" s="560">
        <v>67.22</v>
      </c>
      <c r="AP10" s="560">
        <v>633.70000000000005</v>
      </c>
      <c r="AQ10" s="560">
        <v>484.37</v>
      </c>
      <c r="AR10" s="560">
        <v>131.43</v>
      </c>
      <c r="AS10" s="560">
        <v>158.65</v>
      </c>
      <c r="AT10" s="560">
        <v>283.92</v>
      </c>
      <c r="AU10" s="560">
        <v>249.33</v>
      </c>
      <c r="AV10" s="560">
        <v>574.98</v>
      </c>
      <c r="AW10" s="560">
        <v>410.78</v>
      </c>
      <c r="AX10" s="560">
        <v>247.49</v>
      </c>
      <c r="AY10" s="561">
        <v>270.82</v>
      </c>
      <c r="AZ10" s="561">
        <v>43.61</v>
      </c>
      <c r="BA10" s="561">
        <v>97.43</v>
      </c>
      <c r="BB10" s="561">
        <v>233.13</v>
      </c>
    </row>
    <row r="11" spans="1:54">
      <c r="A11" s="162">
        <f t="shared" si="1"/>
        <v>9</v>
      </c>
      <c r="B11" s="559">
        <v>45784</v>
      </c>
      <c r="C11" s="560">
        <v>133.94999999999999</v>
      </c>
      <c r="D11" s="560">
        <v>188.09</v>
      </c>
      <c r="E11" s="560">
        <v>152.80000000000001</v>
      </c>
      <c r="F11" s="560">
        <v>89.34</v>
      </c>
      <c r="G11" s="560">
        <v>275.83999999999997</v>
      </c>
      <c r="H11" s="560">
        <v>151.38999999999999</v>
      </c>
      <c r="I11" s="560">
        <v>305.18</v>
      </c>
      <c r="J11" s="560">
        <v>47.62</v>
      </c>
      <c r="K11" s="560">
        <v>111.21</v>
      </c>
      <c r="L11" s="560">
        <v>34.46</v>
      </c>
      <c r="M11" s="560">
        <v>91.99</v>
      </c>
      <c r="N11" s="560">
        <v>59.57</v>
      </c>
      <c r="O11" s="560">
        <v>284.82</v>
      </c>
      <c r="P11" s="560">
        <v>72.400000000000006</v>
      </c>
      <c r="Q11" s="560">
        <v>90.88</v>
      </c>
      <c r="R11" s="560">
        <v>34.39</v>
      </c>
      <c r="S11" s="560">
        <v>1007.15</v>
      </c>
      <c r="T11" s="560">
        <v>155.5</v>
      </c>
      <c r="U11" s="561">
        <v>339.55</v>
      </c>
      <c r="V11" s="560">
        <v>269.45</v>
      </c>
      <c r="W11" s="560">
        <v>54.44</v>
      </c>
      <c r="X11" s="560">
        <v>98.9</v>
      </c>
      <c r="Y11" s="560">
        <v>168.67</v>
      </c>
      <c r="Z11" s="560">
        <v>362.75</v>
      </c>
      <c r="AA11" s="560">
        <v>29.11</v>
      </c>
      <c r="AB11" s="560">
        <v>180.09</v>
      </c>
      <c r="AC11" s="560">
        <v>240.31</v>
      </c>
      <c r="AD11" s="560">
        <v>176.53</v>
      </c>
      <c r="AE11" s="560">
        <v>253.37</v>
      </c>
      <c r="AF11" s="560">
        <v>157.30000000000001</v>
      </c>
      <c r="AG11" s="560">
        <v>133.59</v>
      </c>
      <c r="AH11" s="560">
        <v>776.72</v>
      </c>
      <c r="AI11" s="560">
        <v>471.32</v>
      </c>
      <c r="AJ11" s="560">
        <v>227.91</v>
      </c>
      <c r="AK11" s="560">
        <v>318.13</v>
      </c>
      <c r="AL11" s="560">
        <v>722.37</v>
      </c>
      <c r="AM11" s="560">
        <v>79.12</v>
      </c>
      <c r="AN11" s="560">
        <v>433.35</v>
      </c>
      <c r="AO11" s="560">
        <v>67.180000000000007</v>
      </c>
      <c r="AP11" s="560">
        <v>628.33000000000004</v>
      </c>
      <c r="AQ11" s="560">
        <v>486.04</v>
      </c>
      <c r="AR11" s="560">
        <v>131.91499999999999</v>
      </c>
      <c r="AS11" s="560">
        <v>159.29</v>
      </c>
      <c r="AT11" s="560">
        <v>286.38</v>
      </c>
      <c r="AU11" s="560">
        <v>251.81</v>
      </c>
      <c r="AV11" s="560">
        <v>574.29</v>
      </c>
      <c r="AW11" s="560">
        <v>407.85</v>
      </c>
      <c r="AX11" s="560">
        <v>251.26</v>
      </c>
      <c r="AY11" s="561">
        <v>268.86</v>
      </c>
      <c r="AZ11" s="561">
        <v>43.89</v>
      </c>
      <c r="BA11" s="561">
        <v>98.83</v>
      </c>
      <c r="BB11" s="561">
        <v>235.51</v>
      </c>
    </row>
    <row r="12" spans="1:54">
      <c r="A12" s="162">
        <f t="shared" si="1"/>
        <v>10</v>
      </c>
      <c r="B12" s="559">
        <v>45783</v>
      </c>
      <c r="C12" s="560">
        <v>133.06</v>
      </c>
      <c r="D12" s="560">
        <v>187.15</v>
      </c>
      <c r="E12" s="560">
        <v>165.2</v>
      </c>
      <c r="F12" s="560">
        <v>90.47</v>
      </c>
      <c r="G12" s="560">
        <v>270.44</v>
      </c>
      <c r="H12" s="560">
        <v>150.91999999999999</v>
      </c>
      <c r="I12" s="560">
        <v>303.33</v>
      </c>
      <c r="J12" s="560">
        <v>47.57</v>
      </c>
      <c r="K12" s="560">
        <v>110.38</v>
      </c>
      <c r="L12" s="560">
        <v>34.4</v>
      </c>
      <c r="M12" s="560">
        <v>92.07</v>
      </c>
      <c r="N12" s="560">
        <v>59.22</v>
      </c>
      <c r="O12" s="560">
        <v>282.98</v>
      </c>
      <c r="P12" s="560">
        <v>71.72</v>
      </c>
      <c r="Q12" s="560">
        <v>91</v>
      </c>
      <c r="R12" s="560">
        <v>34.49</v>
      </c>
      <c r="S12" s="560">
        <v>1010.5</v>
      </c>
      <c r="T12" s="560">
        <v>154.54</v>
      </c>
      <c r="U12" s="561">
        <v>338.27</v>
      </c>
      <c r="V12" s="560">
        <v>270.61</v>
      </c>
      <c r="W12" s="560">
        <v>54.56</v>
      </c>
      <c r="X12" s="560">
        <v>97.88</v>
      </c>
      <c r="Y12" s="560">
        <v>170.01</v>
      </c>
      <c r="Z12" s="560">
        <v>359.38</v>
      </c>
      <c r="AA12" s="560">
        <v>29.15</v>
      </c>
      <c r="AB12" s="560">
        <v>179.54</v>
      </c>
      <c r="AC12" s="560">
        <v>239.87</v>
      </c>
      <c r="AD12" s="560">
        <v>175.19</v>
      </c>
      <c r="AE12" s="560">
        <v>249.12</v>
      </c>
      <c r="AF12" s="560">
        <v>154.47</v>
      </c>
      <c r="AG12" s="560">
        <v>132.77000000000001</v>
      </c>
      <c r="AH12" s="560">
        <v>775.12</v>
      </c>
      <c r="AI12" s="560">
        <v>468.21</v>
      </c>
      <c r="AJ12" s="560">
        <v>226.7</v>
      </c>
      <c r="AK12" s="560">
        <v>316.79000000000002</v>
      </c>
      <c r="AL12" s="560">
        <v>711.07</v>
      </c>
      <c r="AM12" s="560">
        <v>79.040000000000006</v>
      </c>
      <c r="AN12" s="560">
        <v>433.31</v>
      </c>
      <c r="AO12" s="560">
        <v>67.510000000000005</v>
      </c>
      <c r="AP12" s="560">
        <v>629.1</v>
      </c>
      <c r="AQ12" s="560">
        <v>487.48</v>
      </c>
      <c r="AR12" s="560">
        <v>130.74</v>
      </c>
      <c r="AS12" s="560">
        <v>159.25</v>
      </c>
      <c r="AT12" s="560">
        <v>283.66000000000003</v>
      </c>
      <c r="AU12" s="560">
        <v>250.85</v>
      </c>
      <c r="AV12" s="560">
        <v>569.70000000000005</v>
      </c>
      <c r="AW12" s="560">
        <v>407.02</v>
      </c>
      <c r="AX12" s="560">
        <v>253.8</v>
      </c>
      <c r="AY12" s="561">
        <v>268.05</v>
      </c>
      <c r="AZ12" s="561">
        <v>44.15</v>
      </c>
      <c r="BA12" s="561">
        <v>98.55</v>
      </c>
      <c r="BB12" s="561">
        <v>234.07</v>
      </c>
    </row>
    <row r="13" spans="1:54">
      <c r="A13" s="162">
        <f t="shared" si="1"/>
        <v>11</v>
      </c>
      <c r="B13" s="559">
        <v>45782</v>
      </c>
      <c r="C13" s="560">
        <v>132.6</v>
      </c>
      <c r="D13" s="560">
        <v>196.07</v>
      </c>
      <c r="E13" s="560">
        <v>166.05</v>
      </c>
      <c r="F13" s="560">
        <v>89.67</v>
      </c>
      <c r="G13" s="560">
        <v>280.06</v>
      </c>
      <c r="H13" s="560">
        <v>151.47999999999999</v>
      </c>
      <c r="I13" s="560">
        <v>303.95999999999998</v>
      </c>
      <c r="J13" s="560">
        <v>50.06</v>
      </c>
      <c r="K13" s="560">
        <v>110.4</v>
      </c>
      <c r="L13" s="560">
        <v>34.4</v>
      </c>
      <c r="M13" s="560">
        <v>92.78</v>
      </c>
      <c r="N13" s="560">
        <v>59.32</v>
      </c>
      <c r="O13" s="560">
        <v>282.56</v>
      </c>
      <c r="P13" s="560">
        <v>71.7</v>
      </c>
      <c r="Q13" s="560">
        <v>90.74</v>
      </c>
      <c r="R13" s="560">
        <v>34.450000000000003</v>
      </c>
      <c r="S13" s="560">
        <v>1014.89</v>
      </c>
      <c r="T13" s="560">
        <v>154.74</v>
      </c>
      <c r="U13" s="561">
        <v>334.86</v>
      </c>
      <c r="V13" s="560">
        <v>272.14</v>
      </c>
      <c r="W13" s="560">
        <v>55.05</v>
      </c>
      <c r="X13" s="560">
        <v>102.81</v>
      </c>
      <c r="Y13" s="560">
        <v>166.66</v>
      </c>
      <c r="Z13" s="560">
        <v>361.73</v>
      </c>
      <c r="AA13" s="560">
        <v>29.21</v>
      </c>
      <c r="AB13" s="560">
        <v>181.73</v>
      </c>
      <c r="AC13" s="560">
        <v>240.87</v>
      </c>
      <c r="AD13" s="560">
        <v>173.98</v>
      </c>
      <c r="AE13" s="560">
        <v>249.18</v>
      </c>
      <c r="AF13" s="560">
        <v>155</v>
      </c>
      <c r="AG13" s="560">
        <v>130.9</v>
      </c>
      <c r="AH13" s="560">
        <v>821.46</v>
      </c>
      <c r="AI13" s="560">
        <v>471.56</v>
      </c>
      <c r="AJ13" s="560">
        <v>226.57</v>
      </c>
      <c r="AK13" s="560">
        <v>315.72000000000003</v>
      </c>
      <c r="AL13" s="560">
        <v>707</v>
      </c>
      <c r="AM13" s="560">
        <v>82.84</v>
      </c>
      <c r="AN13" s="560">
        <v>436.17</v>
      </c>
      <c r="AO13" s="560">
        <v>67.8</v>
      </c>
      <c r="AP13" s="560">
        <v>625.99</v>
      </c>
      <c r="AQ13" s="560">
        <v>493.33</v>
      </c>
      <c r="AR13" s="560">
        <v>131.99</v>
      </c>
      <c r="AS13" s="560">
        <v>158.83000000000001</v>
      </c>
      <c r="AT13" s="560">
        <v>282.16000000000003</v>
      </c>
      <c r="AU13" s="560">
        <v>250.73</v>
      </c>
      <c r="AV13" s="560">
        <v>571.13</v>
      </c>
      <c r="AW13" s="560">
        <v>422.27</v>
      </c>
      <c r="AX13" s="560">
        <v>248.3</v>
      </c>
      <c r="AY13" s="561">
        <v>267.54000000000002</v>
      </c>
      <c r="AZ13" s="561">
        <v>43.54</v>
      </c>
      <c r="BA13" s="561">
        <v>99.33</v>
      </c>
      <c r="BB13" s="561">
        <v>234.79</v>
      </c>
    </row>
    <row r="14" spans="1:54">
      <c r="A14" s="162">
        <f t="shared" si="1"/>
        <v>12</v>
      </c>
      <c r="B14" s="559">
        <v>45779</v>
      </c>
      <c r="C14" s="560">
        <v>132.82</v>
      </c>
      <c r="D14" s="560">
        <v>198.47</v>
      </c>
      <c r="E14" s="560">
        <v>165.81</v>
      </c>
      <c r="F14" s="560">
        <v>89.39</v>
      </c>
      <c r="G14" s="560">
        <v>281.22000000000003</v>
      </c>
      <c r="H14" s="560">
        <v>152</v>
      </c>
      <c r="I14" s="560">
        <v>303.57</v>
      </c>
      <c r="J14" s="560">
        <v>50.57</v>
      </c>
      <c r="K14" s="560">
        <v>110.57</v>
      </c>
      <c r="L14" s="560">
        <v>34.5</v>
      </c>
      <c r="M14" s="560">
        <v>92.94</v>
      </c>
      <c r="N14" s="560">
        <v>59.33</v>
      </c>
      <c r="O14" s="560">
        <v>280.45</v>
      </c>
      <c r="P14" s="560">
        <v>71.650000000000006</v>
      </c>
      <c r="Q14" s="560">
        <v>90.48</v>
      </c>
      <c r="R14" s="560">
        <v>34.46</v>
      </c>
      <c r="S14" s="560">
        <v>1008.3</v>
      </c>
      <c r="T14" s="560">
        <v>151.1</v>
      </c>
      <c r="U14" s="561">
        <v>331.08</v>
      </c>
      <c r="V14" s="560">
        <v>273.02999999999997</v>
      </c>
      <c r="W14" s="560">
        <v>55.43</v>
      </c>
      <c r="X14" s="560">
        <v>103.68</v>
      </c>
      <c r="Y14" s="560">
        <v>163.35</v>
      </c>
      <c r="Z14" s="560">
        <v>364.52</v>
      </c>
      <c r="AA14" s="560">
        <v>29.31</v>
      </c>
      <c r="AB14" s="560">
        <v>181.45</v>
      </c>
      <c r="AC14" s="560">
        <v>242.32</v>
      </c>
      <c r="AD14" s="560">
        <v>173.45</v>
      </c>
      <c r="AE14" s="560">
        <v>245.55</v>
      </c>
      <c r="AF14" s="560">
        <v>156.12</v>
      </c>
      <c r="AG14" s="560">
        <v>130.35</v>
      </c>
      <c r="AH14" s="560">
        <v>823.62</v>
      </c>
      <c r="AI14" s="560">
        <v>472.8</v>
      </c>
      <c r="AJ14" s="560">
        <v>227.29</v>
      </c>
      <c r="AK14" s="560">
        <v>311.95999999999998</v>
      </c>
      <c r="AL14" s="560">
        <v>708.41</v>
      </c>
      <c r="AM14" s="560">
        <v>83.18</v>
      </c>
      <c r="AN14" s="560">
        <v>435.28</v>
      </c>
      <c r="AO14" s="560">
        <v>67.75</v>
      </c>
      <c r="AP14" s="560">
        <v>627.99</v>
      </c>
      <c r="AQ14" s="560">
        <v>491.42</v>
      </c>
      <c r="AR14" s="560">
        <v>133.75</v>
      </c>
      <c r="AS14" s="560">
        <v>160.52000000000001</v>
      </c>
      <c r="AT14" s="560">
        <v>282.81</v>
      </c>
      <c r="AU14" s="560">
        <v>250.52</v>
      </c>
      <c r="AV14" s="560">
        <v>566.04</v>
      </c>
      <c r="AW14" s="560">
        <v>423.55</v>
      </c>
      <c r="AX14" s="560">
        <v>248.88</v>
      </c>
      <c r="AY14" s="561">
        <v>267.41000000000003</v>
      </c>
      <c r="AZ14" s="561">
        <v>43.74</v>
      </c>
      <c r="BA14" s="561">
        <v>98.75</v>
      </c>
      <c r="BB14" s="561">
        <v>233.94</v>
      </c>
    </row>
    <row r="15" spans="1:54">
      <c r="A15" s="162">
        <f t="shared" si="1"/>
        <v>13</v>
      </c>
      <c r="B15" s="559">
        <v>45778</v>
      </c>
      <c r="C15" s="560">
        <v>130.88</v>
      </c>
      <c r="D15" s="560">
        <v>193.34</v>
      </c>
      <c r="E15" s="560">
        <v>162.79</v>
      </c>
      <c r="F15" s="560">
        <v>88.63</v>
      </c>
      <c r="G15" s="560">
        <v>283.77999999999997</v>
      </c>
      <c r="H15" s="560">
        <v>148.28</v>
      </c>
      <c r="I15" s="560">
        <v>298.69</v>
      </c>
      <c r="J15" s="560">
        <v>49.61</v>
      </c>
      <c r="K15" s="560">
        <v>109.02</v>
      </c>
      <c r="L15" s="560">
        <v>34.159999999999997</v>
      </c>
      <c r="M15" s="560">
        <v>92.38</v>
      </c>
      <c r="N15" s="560">
        <v>58.12</v>
      </c>
      <c r="O15" s="560">
        <v>277.11</v>
      </c>
      <c r="P15" s="560">
        <v>71.290000000000006</v>
      </c>
      <c r="Q15" s="560">
        <v>90.69</v>
      </c>
      <c r="R15" s="560">
        <v>33.82</v>
      </c>
      <c r="S15" s="560">
        <v>999.04</v>
      </c>
      <c r="T15" s="560">
        <v>145.1</v>
      </c>
      <c r="U15" s="561">
        <v>317.64</v>
      </c>
      <c r="V15" s="560">
        <v>271.51</v>
      </c>
      <c r="W15" s="560">
        <v>55.58</v>
      </c>
      <c r="X15" s="560">
        <v>103.25</v>
      </c>
      <c r="Y15" s="560">
        <v>167.13</v>
      </c>
      <c r="Z15" s="560">
        <v>358.3</v>
      </c>
      <c r="AA15" s="560">
        <v>29.39</v>
      </c>
      <c r="AB15" s="560">
        <v>175.25</v>
      </c>
      <c r="AC15" s="560">
        <v>239.24</v>
      </c>
      <c r="AD15" s="560">
        <v>170.84</v>
      </c>
      <c r="AE15" s="560">
        <v>239.66</v>
      </c>
      <c r="AF15" s="560">
        <v>154.46</v>
      </c>
      <c r="AG15" s="560">
        <v>129.87</v>
      </c>
      <c r="AH15" s="560">
        <v>794.1</v>
      </c>
      <c r="AI15" s="560">
        <v>477.72</v>
      </c>
      <c r="AJ15" s="560">
        <v>224</v>
      </c>
      <c r="AK15" s="560">
        <v>313.64</v>
      </c>
      <c r="AL15" s="560">
        <v>706.77</v>
      </c>
      <c r="AM15" s="560">
        <v>83.26</v>
      </c>
      <c r="AN15" s="560">
        <v>425.4</v>
      </c>
      <c r="AO15" s="560">
        <v>67.87</v>
      </c>
      <c r="AP15" s="560">
        <v>621.78</v>
      </c>
      <c r="AQ15" s="560">
        <v>486.67</v>
      </c>
      <c r="AR15" s="560">
        <v>133.55000000000001</v>
      </c>
      <c r="AS15" s="560">
        <v>159.97999999999999</v>
      </c>
      <c r="AT15" s="560">
        <v>277.66000000000003</v>
      </c>
      <c r="AU15" s="560">
        <v>249.41</v>
      </c>
      <c r="AV15" s="560">
        <v>557.59</v>
      </c>
      <c r="AW15" s="560">
        <v>419.89</v>
      </c>
      <c r="AX15" s="560">
        <v>247</v>
      </c>
      <c r="AY15" s="561">
        <v>261.45</v>
      </c>
      <c r="AZ15" s="561">
        <v>43.3</v>
      </c>
      <c r="BA15" s="561">
        <v>97.41</v>
      </c>
      <c r="BB15" s="561">
        <v>233.4</v>
      </c>
    </row>
    <row r="16" spans="1:54">
      <c r="A16" s="162">
        <f t="shared" si="1"/>
        <v>14</v>
      </c>
      <c r="B16" s="559">
        <v>45777</v>
      </c>
      <c r="C16" s="560">
        <v>130.75</v>
      </c>
      <c r="D16" s="560">
        <v>195.1</v>
      </c>
      <c r="E16" s="560">
        <v>160.88999999999999</v>
      </c>
      <c r="F16" s="560">
        <v>88.58</v>
      </c>
      <c r="G16" s="560">
        <v>290.92</v>
      </c>
      <c r="H16" s="560">
        <v>149.94999999999999</v>
      </c>
      <c r="I16" s="560">
        <v>300.60000000000002</v>
      </c>
      <c r="J16" s="560">
        <v>50.2</v>
      </c>
      <c r="K16" s="560">
        <v>110.6</v>
      </c>
      <c r="L16" s="560">
        <v>34.840000000000003</v>
      </c>
      <c r="M16" s="560">
        <v>99.34</v>
      </c>
      <c r="N16" s="560">
        <v>57.73</v>
      </c>
      <c r="O16" s="560">
        <v>277.08</v>
      </c>
      <c r="P16" s="560">
        <v>72.55</v>
      </c>
      <c r="Q16" s="560">
        <v>92.19</v>
      </c>
      <c r="R16" s="560">
        <v>34.200000000000003</v>
      </c>
      <c r="S16" s="560">
        <v>994.5</v>
      </c>
      <c r="T16" s="560">
        <v>145.09</v>
      </c>
      <c r="U16" s="561">
        <v>320.69</v>
      </c>
      <c r="V16" s="560">
        <v>272.12</v>
      </c>
      <c r="W16" s="560">
        <v>56.74</v>
      </c>
      <c r="X16" s="560">
        <v>106.54</v>
      </c>
      <c r="Y16" s="560">
        <v>167.19</v>
      </c>
      <c r="Z16" s="560">
        <v>360.49</v>
      </c>
      <c r="AA16" s="560">
        <v>29.9</v>
      </c>
      <c r="AB16" s="560">
        <v>173.97</v>
      </c>
      <c r="AC16" s="560">
        <v>239.91</v>
      </c>
      <c r="AD16" s="560">
        <v>167.97</v>
      </c>
      <c r="AE16" s="560">
        <v>241.82</v>
      </c>
      <c r="AF16" s="560">
        <v>156.31</v>
      </c>
      <c r="AG16" s="560">
        <v>131.78</v>
      </c>
      <c r="AH16" s="560">
        <v>898.95</v>
      </c>
      <c r="AI16" s="560">
        <v>477.75</v>
      </c>
      <c r="AJ16" s="560">
        <v>225.47</v>
      </c>
      <c r="AK16" s="560">
        <v>319.64999999999998</v>
      </c>
      <c r="AL16" s="560">
        <v>712.79</v>
      </c>
      <c r="AM16" s="560">
        <v>85.2</v>
      </c>
      <c r="AN16" s="560">
        <v>395.26</v>
      </c>
      <c r="AO16" s="560">
        <v>68.13</v>
      </c>
      <c r="AP16" s="560">
        <v>615.29999999999995</v>
      </c>
      <c r="AQ16" s="560">
        <v>486.5</v>
      </c>
      <c r="AR16" s="560">
        <v>135.58000000000001</v>
      </c>
      <c r="AS16" s="560">
        <v>162.57</v>
      </c>
      <c r="AT16" s="560">
        <v>281.74</v>
      </c>
      <c r="AU16" s="560">
        <v>250.75</v>
      </c>
      <c r="AV16" s="560">
        <v>560.08000000000004</v>
      </c>
      <c r="AW16" s="560">
        <v>429</v>
      </c>
      <c r="AX16" s="560">
        <v>246.95</v>
      </c>
      <c r="AY16" s="561">
        <v>264.13</v>
      </c>
      <c r="AZ16" s="561">
        <v>44.06</v>
      </c>
      <c r="BA16" s="561">
        <v>97.25</v>
      </c>
      <c r="BB16" s="561">
        <v>233.36</v>
      </c>
    </row>
    <row r="17" spans="1:54">
      <c r="A17" s="162">
        <f t="shared" si="1"/>
        <v>15</v>
      </c>
      <c r="B17" s="559">
        <v>45776</v>
      </c>
      <c r="C17" s="560">
        <v>130.5</v>
      </c>
      <c r="D17" s="560">
        <v>193.51</v>
      </c>
      <c r="E17" s="560">
        <v>162.06</v>
      </c>
      <c r="F17" s="560">
        <v>88.11</v>
      </c>
      <c r="G17" s="560">
        <v>288.56</v>
      </c>
      <c r="H17" s="560">
        <v>150.30000000000001</v>
      </c>
      <c r="I17" s="560">
        <v>295.77</v>
      </c>
      <c r="J17" s="560">
        <v>49.22</v>
      </c>
      <c r="K17" s="560">
        <v>107.99</v>
      </c>
      <c r="L17" s="560">
        <v>34.340000000000003</v>
      </c>
      <c r="M17" s="560">
        <v>99.01</v>
      </c>
      <c r="N17" s="560">
        <v>57.34</v>
      </c>
      <c r="O17" s="560">
        <v>272.36</v>
      </c>
      <c r="P17" s="560">
        <v>72.349999999999994</v>
      </c>
      <c r="Q17" s="560">
        <v>92.33</v>
      </c>
      <c r="R17" s="560">
        <v>33.94</v>
      </c>
      <c r="S17" s="560">
        <v>991.7</v>
      </c>
      <c r="T17" s="560">
        <v>145.97</v>
      </c>
      <c r="U17" s="561">
        <v>317.14</v>
      </c>
      <c r="V17" s="560">
        <v>272.08</v>
      </c>
      <c r="W17" s="560">
        <v>56.15</v>
      </c>
      <c r="X17" s="560">
        <v>104.21</v>
      </c>
      <c r="Y17" s="560">
        <v>165.07</v>
      </c>
      <c r="Z17" s="560">
        <v>359</v>
      </c>
      <c r="AA17" s="560">
        <v>29.61</v>
      </c>
      <c r="AB17" s="560">
        <v>172.2</v>
      </c>
      <c r="AC17" s="560">
        <v>241.75</v>
      </c>
      <c r="AD17" s="560">
        <v>166.33</v>
      </c>
      <c r="AE17" s="560">
        <v>239.39</v>
      </c>
      <c r="AF17" s="560">
        <v>155.91</v>
      </c>
      <c r="AG17" s="560">
        <v>130.55000000000001</v>
      </c>
      <c r="AH17" s="560">
        <v>885.2</v>
      </c>
      <c r="AI17" s="560">
        <v>475.88</v>
      </c>
      <c r="AJ17" s="560">
        <v>222</v>
      </c>
      <c r="AK17" s="560">
        <v>314.5</v>
      </c>
      <c r="AL17" s="560">
        <v>707.28</v>
      </c>
      <c r="AM17" s="560">
        <v>84.71</v>
      </c>
      <c r="AN17" s="560">
        <v>394.04</v>
      </c>
      <c r="AO17" s="560">
        <v>65.650000000000006</v>
      </c>
      <c r="AP17" s="560">
        <v>598.80999999999995</v>
      </c>
      <c r="AQ17" s="560">
        <v>482.1</v>
      </c>
      <c r="AR17" s="560">
        <v>134.31</v>
      </c>
      <c r="AS17" s="560">
        <v>162.26</v>
      </c>
      <c r="AT17" s="560">
        <v>276.31</v>
      </c>
      <c r="AU17" s="560">
        <v>247.7</v>
      </c>
      <c r="AV17" s="560">
        <v>556.16999999999996</v>
      </c>
      <c r="AW17" s="560">
        <v>427.53</v>
      </c>
      <c r="AX17" s="560">
        <v>241.59</v>
      </c>
      <c r="AY17" s="561">
        <v>264.05</v>
      </c>
      <c r="AZ17" s="561">
        <v>42.95</v>
      </c>
      <c r="BA17" s="561">
        <v>96.04</v>
      </c>
      <c r="BB17" s="561">
        <v>228.8</v>
      </c>
    </row>
    <row r="18" spans="1:54">
      <c r="A18" s="162">
        <f t="shared" si="1"/>
        <v>16</v>
      </c>
      <c r="B18" s="559">
        <v>45775</v>
      </c>
      <c r="C18" s="560">
        <v>129.53</v>
      </c>
      <c r="D18" s="560">
        <v>192.34</v>
      </c>
      <c r="E18" s="560">
        <v>162.41999999999999</v>
      </c>
      <c r="F18" s="560">
        <v>86.78</v>
      </c>
      <c r="G18" s="560">
        <v>283.08999999999997</v>
      </c>
      <c r="H18" s="560">
        <v>149.69999999999999</v>
      </c>
      <c r="I18" s="560">
        <v>293.57</v>
      </c>
      <c r="J18" s="560">
        <v>48.46</v>
      </c>
      <c r="K18" s="560">
        <v>114.88</v>
      </c>
      <c r="L18" s="560">
        <v>34.11</v>
      </c>
      <c r="M18" s="560">
        <v>98.81</v>
      </c>
      <c r="N18" s="560">
        <v>56.84</v>
      </c>
      <c r="O18" s="560">
        <v>267.92</v>
      </c>
      <c r="P18" s="560">
        <v>71.790000000000006</v>
      </c>
      <c r="Q18" s="560">
        <v>90.96</v>
      </c>
      <c r="R18" s="560">
        <v>33.770000000000003</v>
      </c>
      <c r="S18" s="560">
        <v>978.54</v>
      </c>
      <c r="T18" s="560">
        <v>146.72</v>
      </c>
      <c r="U18" s="561">
        <v>323.81</v>
      </c>
      <c r="V18" s="560">
        <v>271.94</v>
      </c>
      <c r="W18" s="560">
        <v>55.75</v>
      </c>
      <c r="X18" s="560">
        <v>106.34</v>
      </c>
      <c r="Y18" s="560">
        <v>163.06</v>
      </c>
      <c r="Z18" s="560">
        <v>356.92</v>
      </c>
      <c r="AA18" s="560">
        <v>29.52</v>
      </c>
      <c r="AB18" s="560">
        <v>174.1</v>
      </c>
      <c r="AC18" s="560">
        <v>240.12</v>
      </c>
      <c r="AD18" s="560">
        <v>163.47999999999999</v>
      </c>
      <c r="AE18" s="560">
        <v>236.16</v>
      </c>
      <c r="AF18" s="560">
        <v>155.35</v>
      </c>
      <c r="AG18" s="560">
        <v>130.9</v>
      </c>
      <c r="AH18" s="560">
        <v>877.29</v>
      </c>
      <c r="AI18" s="560">
        <v>476.29</v>
      </c>
      <c r="AJ18" s="560">
        <v>220.46</v>
      </c>
      <c r="AK18" s="560">
        <v>316.81</v>
      </c>
      <c r="AL18" s="560">
        <v>699.73</v>
      </c>
      <c r="AM18" s="560">
        <v>83.19</v>
      </c>
      <c r="AN18" s="560">
        <v>391.16</v>
      </c>
      <c r="AO18" s="560">
        <v>65.099999999999994</v>
      </c>
      <c r="AP18" s="560">
        <v>604.66</v>
      </c>
      <c r="AQ18" s="560">
        <v>483.31</v>
      </c>
      <c r="AR18" s="560">
        <v>133.76</v>
      </c>
      <c r="AS18" s="560">
        <v>161.85</v>
      </c>
      <c r="AT18" s="560">
        <v>269.58</v>
      </c>
      <c r="AU18" s="560">
        <v>246.11</v>
      </c>
      <c r="AV18" s="560">
        <v>551.95000000000005</v>
      </c>
      <c r="AW18" s="560">
        <v>421.34</v>
      </c>
      <c r="AX18" s="560">
        <v>236.77</v>
      </c>
      <c r="AY18" s="561">
        <v>261.61</v>
      </c>
      <c r="AZ18" s="561">
        <v>42.39</v>
      </c>
      <c r="BA18" s="561">
        <v>95.22</v>
      </c>
      <c r="BB18" s="561">
        <v>229.08</v>
      </c>
    </row>
    <row r="19" spans="1:54">
      <c r="A19" s="162">
        <f t="shared" si="1"/>
        <v>17</v>
      </c>
      <c r="B19" s="559">
        <v>45772</v>
      </c>
      <c r="C19" s="560">
        <v>128.85</v>
      </c>
      <c r="D19" s="560">
        <v>186.06</v>
      </c>
      <c r="E19" s="560">
        <v>163.85</v>
      </c>
      <c r="F19" s="560">
        <v>86.01</v>
      </c>
      <c r="G19" s="560">
        <v>280.83999999999997</v>
      </c>
      <c r="H19" s="560">
        <v>149.06</v>
      </c>
      <c r="I19" s="560">
        <v>291.76</v>
      </c>
      <c r="J19" s="560">
        <v>47.9</v>
      </c>
      <c r="K19" s="560">
        <v>114.44</v>
      </c>
      <c r="L19" s="560">
        <v>33.96</v>
      </c>
      <c r="M19" s="560">
        <v>99.31</v>
      </c>
      <c r="N19" s="560">
        <v>56.71</v>
      </c>
      <c r="O19" s="560">
        <v>266.3</v>
      </c>
      <c r="P19" s="560">
        <v>71.91</v>
      </c>
      <c r="Q19" s="560">
        <v>93.91</v>
      </c>
      <c r="R19" s="560">
        <v>33.9</v>
      </c>
      <c r="S19" s="560">
        <v>977.16</v>
      </c>
      <c r="T19" s="560">
        <v>146.6</v>
      </c>
      <c r="U19" s="561">
        <v>322.3</v>
      </c>
      <c r="V19" s="560">
        <v>271.97000000000003</v>
      </c>
      <c r="W19" s="560">
        <v>56.14</v>
      </c>
      <c r="X19" s="560">
        <v>103.17</v>
      </c>
      <c r="Y19" s="560">
        <v>163.28</v>
      </c>
      <c r="Z19" s="560">
        <v>357.58</v>
      </c>
      <c r="AA19" s="560">
        <v>29.7</v>
      </c>
      <c r="AB19" s="560">
        <v>173</v>
      </c>
      <c r="AC19" s="560">
        <v>239.5</v>
      </c>
      <c r="AD19" s="560">
        <v>163.22999999999999</v>
      </c>
      <c r="AE19" s="560">
        <v>232.41</v>
      </c>
      <c r="AF19" s="560">
        <v>154.58000000000001</v>
      </c>
      <c r="AG19" s="560">
        <v>131.61000000000001</v>
      </c>
      <c r="AH19" s="560">
        <v>884.54</v>
      </c>
      <c r="AI19" s="560">
        <v>477.64</v>
      </c>
      <c r="AJ19" s="560">
        <v>219.24</v>
      </c>
      <c r="AK19" s="560">
        <v>316.74</v>
      </c>
      <c r="AL19" s="560">
        <v>695</v>
      </c>
      <c r="AM19" s="560">
        <v>82.74</v>
      </c>
      <c r="AN19" s="560">
        <v>391.85</v>
      </c>
      <c r="AO19" s="560">
        <v>65.59</v>
      </c>
      <c r="AP19" s="560">
        <v>600.98</v>
      </c>
      <c r="AQ19" s="560">
        <v>473.2</v>
      </c>
      <c r="AR19" s="560">
        <v>133.38</v>
      </c>
      <c r="AS19" s="560">
        <v>161.02000000000001</v>
      </c>
      <c r="AT19" s="560">
        <v>265.01</v>
      </c>
      <c r="AU19" s="560">
        <v>243.56</v>
      </c>
      <c r="AV19" s="560">
        <v>557.70000000000005</v>
      </c>
      <c r="AW19" s="560">
        <v>424.24</v>
      </c>
      <c r="AX19" s="560">
        <v>232.77</v>
      </c>
      <c r="AY19" s="561">
        <v>259.16000000000003</v>
      </c>
      <c r="AZ19" s="561">
        <v>41.91</v>
      </c>
      <c r="BA19" s="561">
        <v>95.09</v>
      </c>
      <c r="BB19" s="561">
        <v>228.31</v>
      </c>
    </row>
    <row r="20" spans="1:54">
      <c r="A20" s="162">
        <f t="shared" si="1"/>
        <v>18</v>
      </c>
      <c r="B20" s="559">
        <v>45771</v>
      </c>
      <c r="C20" s="560">
        <v>129.38</v>
      </c>
      <c r="D20" s="560">
        <v>180.37</v>
      </c>
      <c r="E20" s="560">
        <v>161.47</v>
      </c>
      <c r="F20" s="560">
        <v>85.82</v>
      </c>
      <c r="G20" s="560">
        <v>279.83999999999997</v>
      </c>
      <c r="H20" s="560">
        <v>151.46</v>
      </c>
      <c r="I20" s="560">
        <v>294.55</v>
      </c>
      <c r="J20" s="560">
        <v>48.69</v>
      </c>
      <c r="K20" s="560">
        <v>117.76</v>
      </c>
      <c r="L20" s="560">
        <v>34.61</v>
      </c>
      <c r="M20" s="560">
        <v>100.21</v>
      </c>
      <c r="N20" s="560">
        <v>56.29</v>
      </c>
      <c r="O20" s="560">
        <v>263.27</v>
      </c>
      <c r="P20" s="560">
        <v>72.52</v>
      </c>
      <c r="Q20" s="560">
        <v>92.7</v>
      </c>
      <c r="R20" s="560">
        <v>33.19</v>
      </c>
      <c r="S20" s="560">
        <v>975.48</v>
      </c>
      <c r="T20" s="560">
        <v>146.19</v>
      </c>
      <c r="U20" s="561">
        <v>331.52</v>
      </c>
      <c r="V20" s="560">
        <v>271.70999999999998</v>
      </c>
      <c r="W20" s="560">
        <v>56.39</v>
      </c>
      <c r="X20" s="560">
        <v>106.15</v>
      </c>
      <c r="Y20" s="560">
        <v>163.99</v>
      </c>
      <c r="Z20" s="560">
        <v>359.64</v>
      </c>
      <c r="AA20" s="560">
        <v>30.19</v>
      </c>
      <c r="AB20" s="560">
        <v>173.79</v>
      </c>
      <c r="AC20" s="560">
        <v>242.07</v>
      </c>
      <c r="AD20" s="560">
        <v>162.97999999999999</v>
      </c>
      <c r="AE20" s="560">
        <v>229.33</v>
      </c>
      <c r="AF20" s="560">
        <v>154.93</v>
      </c>
      <c r="AG20" s="560">
        <v>132.34</v>
      </c>
      <c r="AH20" s="560">
        <v>859.73</v>
      </c>
      <c r="AI20" s="560">
        <v>466.81</v>
      </c>
      <c r="AJ20" s="560">
        <v>218.96</v>
      </c>
      <c r="AK20" s="560">
        <v>316.22000000000003</v>
      </c>
      <c r="AL20" s="560">
        <v>688.43</v>
      </c>
      <c r="AM20" s="560">
        <v>79.84</v>
      </c>
      <c r="AN20" s="560">
        <v>387.3</v>
      </c>
      <c r="AO20" s="560">
        <v>65.52</v>
      </c>
      <c r="AP20" s="560">
        <v>606.87</v>
      </c>
      <c r="AQ20" s="560">
        <v>463.07</v>
      </c>
      <c r="AR20" s="560">
        <v>135.31</v>
      </c>
      <c r="AS20" s="560">
        <v>159.53</v>
      </c>
      <c r="AT20" s="560">
        <v>265.19</v>
      </c>
      <c r="AU20" s="560">
        <v>240.76</v>
      </c>
      <c r="AV20" s="560">
        <v>559.66</v>
      </c>
      <c r="AW20" s="560">
        <v>426.66</v>
      </c>
      <c r="AX20" s="560">
        <v>262.18</v>
      </c>
      <c r="AY20" s="561">
        <v>260.39999999999998</v>
      </c>
      <c r="AZ20" s="561">
        <v>42.81</v>
      </c>
      <c r="BA20" s="561">
        <v>95.84</v>
      </c>
      <c r="BB20" s="561">
        <v>227.47</v>
      </c>
    </row>
    <row r="21" spans="1:54">
      <c r="A21" s="162">
        <f t="shared" si="1"/>
        <v>19</v>
      </c>
      <c r="B21" s="559">
        <v>45770</v>
      </c>
      <c r="C21" s="560">
        <v>129.84</v>
      </c>
      <c r="D21" s="560">
        <v>177.05</v>
      </c>
      <c r="E21" s="560">
        <v>157.72</v>
      </c>
      <c r="F21" s="560">
        <v>84.96</v>
      </c>
      <c r="G21" s="560">
        <v>277.89999999999998</v>
      </c>
      <c r="H21" s="560">
        <v>148.05000000000001</v>
      </c>
      <c r="I21" s="560">
        <v>293.54000000000002</v>
      </c>
      <c r="J21" s="560">
        <v>48.53</v>
      </c>
      <c r="K21" s="560">
        <v>118.2</v>
      </c>
      <c r="L21" s="560">
        <v>34.58</v>
      </c>
      <c r="M21" s="560">
        <v>102.13</v>
      </c>
      <c r="N21" s="560">
        <v>55.63</v>
      </c>
      <c r="O21" s="560">
        <v>261.48</v>
      </c>
      <c r="P21" s="560">
        <v>73.3</v>
      </c>
      <c r="Q21" s="560">
        <v>93.89</v>
      </c>
      <c r="R21" s="560">
        <v>34.47</v>
      </c>
      <c r="S21" s="560">
        <v>975.84</v>
      </c>
      <c r="T21" s="560">
        <v>143.72999999999999</v>
      </c>
      <c r="U21" s="561">
        <v>331.79</v>
      </c>
      <c r="V21" s="560">
        <v>265.73</v>
      </c>
      <c r="W21" s="560">
        <v>57.28</v>
      </c>
      <c r="X21" s="560">
        <v>106.38</v>
      </c>
      <c r="Y21" s="560">
        <v>166.6</v>
      </c>
      <c r="Z21" s="560">
        <v>356.42</v>
      </c>
      <c r="AA21" s="560">
        <v>30.81</v>
      </c>
      <c r="AB21" s="560">
        <v>167.15</v>
      </c>
      <c r="AC21" s="560">
        <v>236.7</v>
      </c>
      <c r="AD21" s="560">
        <v>160.99</v>
      </c>
      <c r="AE21" s="560">
        <v>245.48</v>
      </c>
      <c r="AF21" s="560">
        <v>155.38</v>
      </c>
      <c r="AG21" s="560">
        <v>133.4</v>
      </c>
      <c r="AH21" s="560">
        <v>829.42</v>
      </c>
      <c r="AI21" s="560">
        <v>463.55</v>
      </c>
      <c r="AJ21" s="560">
        <v>219.04</v>
      </c>
      <c r="AK21" s="560">
        <v>318.48</v>
      </c>
      <c r="AL21" s="560">
        <v>692.27</v>
      </c>
      <c r="AM21" s="560">
        <v>78.739999999999995</v>
      </c>
      <c r="AN21" s="560">
        <v>374.39</v>
      </c>
      <c r="AO21" s="560">
        <v>67.38</v>
      </c>
      <c r="AP21" s="560">
        <v>576.03</v>
      </c>
      <c r="AQ21" s="560">
        <v>472.65</v>
      </c>
      <c r="AR21" s="560">
        <v>142.26</v>
      </c>
      <c r="AS21" s="560">
        <v>165.73</v>
      </c>
      <c r="AT21" s="560">
        <v>265.02999999999997</v>
      </c>
      <c r="AU21" s="560">
        <v>241.37</v>
      </c>
      <c r="AV21" s="560">
        <v>551.08000000000004</v>
      </c>
      <c r="AW21" s="560">
        <v>431.64</v>
      </c>
      <c r="AX21" s="560">
        <v>259.35000000000002</v>
      </c>
      <c r="AY21" s="561">
        <v>259.08</v>
      </c>
      <c r="AZ21" s="561">
        <v>42.7</v>
      </c>
      <c r="BA21" s="561">
        <v>94.96</v>
      </c>
      <c r="BB21" s="561">
        <v>228.63</v>
      </c>
    </row>
    <row r="22" spans="1:54">
      <c r="A22" s="162">
        <f t="shared" si="1"/>
        <v>20</v>
      </c>
      <c r="B22" s="559">
        <v>45769</v>
      </c>
      <c r="C22" s="560">
        <v>131.72999999999999</v>
      </c>
      <c r="D22" s="560">
        <v>173.78</v>
      </c>
      <c r="E22" s="560">
        <v>153.9</v>
      </c>
      <c r="F22" s="560">
        <v>83.91</v>
      </c>
      <c r="G22" s="560">
        <v>278.39999999999998</v>
      </c>
      <c r="H22" s="560">
        <v>146.02000000000001</v>
      </c>
      <c r="I22" s="560">
        <v>292.89</v>
      </c>
      <c r="J22" s="560">
        <v>49.82</v>
      </c>
      <c r="K22" s="560">
        <v>117.56</v>
      </c>
      <c r="L22" s="560">
        <v>34.71</v>
      </c>
      <c r="M22" s="560">
        <v>103.85</v>
      </c>
      <c r="N22" s="560">
        <v>55.04</v>
      </c>
      <c r="O22" s="560">
        <v>265.56</v>
      </c>
      <c r="P22" s="560">
        <v>73.900000000000006</v>
      </c>
      <c r="Q22" s="560">
        <v>95.81</v>
      </c>
      <c r="R22" s="560">
        <v>34.200000000000003</v>
      </c>
      <c r="S22" s="560">
        <v>979.23</v>
      </c>
      <c r="T22" s="560">
        <v>145.87</v>
      </c>
      <c r="U22" s="561">
        <v>330.75</v>
      </c>
      <c r="V22" s="560">
        <v>274.8</v>
      </c>
      <c r="W22" s="560">
        <v>58.06</v>
      </c>
      <c r="X22" s="560">
        <v>105.51</v>
      </c>
      <c r="Y22" s="560">
        <v>167.44</v>
      </c>
      <c r="Z22" s="560">
        <v>354.43</v>
      </c>
      <c r="AA22" s="560">
        <v>30.71</v>
      </c>
      <c r="AB22" s="560">
        <v>166.4</v>
      </c>
      <c r="AC22" s="560">
        <v>236.25</v>
      </c>
      <c r="AD22" s="560">
        <v>160.68</v>
      </c>
      <c r="AE22" s="560">
        <v>240.9</v>
      </c>
      <c r="AF22" s="560">
        <v>157.75</v>
      </c>
      <c r="AG22" s="560">
        <v>137.91999999999999</v>
      </c>
      <c r="AH22" s="560">
        <v>827.54</v>
      </c>
      <c r="AI22" s="560">
        <v>462.08</v>
      </c>
      <c r="AJ22" s="560">
        <v>219.55</v>
      </c>
      <c r="AK22" s="560">
        <v>319.08</v>
      </c>
      <c r="AL22" s="560">
        <v>695.17</v>
      </c>
      <c r="AM22" s="560">
        <v>78.97</v>
      </c>
      <c r="AN22" s="560">
        <v>366.82</v>
      </c>
      <c r="AO22" s="560">
        <v>68.290000000000006</v>
      </c>
      <c r="AP22" s="560">
        <v>569.30999999999995</v>
      </c>
      <c r="AQ22" s="560">
        <v>464.08</v>
      </c>
      <c r="AR22" s="560">
        <v>143.46</v>
      </c>
      <c r="AS22" s="560">
        <v>167.88</v>
      </c>
      <c r="AT22" s="560">
        <v>265.08</v>
      </c>
      <c r="AU22" s="560">
        <v>242.57</v>
      </c>
      <c r="AV22" s="560">
        <v>551.29999999999995</v>
      </c>
      <c r="AW22" s="560">
        <v>434.73</v>
      </c>
      <c r="AX22" s="560">
        <v>258.3</v>
      </c>
      <c r="AY22" s="561">
        <v>261.31</v>
      </c>
      <c r="AZ22" s="561">
        <v>43.19</v>
      </c>
      <c r="BA22" s="561">
        <v>94.85</v>
      </c>
      <c r="BB22" s="561">
        <v>229.96</v>
      </c>
    </row>
    <row r="23" spans="1:54">
      <c r="A23" s="162">
        <f t="shared" si="1"/>
        <v>21</v>
      </c>
      <c r="B23" s="559">
        <v>45768</v>
      </c>
      <c r="C23" s="560">
        <v>129.88999999999999</v>
      </c>
      <c r="D23" s="560">
        <v>170.16</v>
      </c>
      <c r="E23" s="560">
        <v>149.86000000000001</v>
      </c>
      <c r="F23" s="560">
        <v>82.11</v>
      </c>
      <c r="G23" s="560">
        <v>273.68</v>
      </c>
      <c r="H23" s="560">
        <v>142.58000000000001</v>
      </c>
      <c r="I23" s="560">
        <v>284.85000000000002</v>
      </c>
      <c r="J23" s="560">
        <v>48.94</v>
      </c>
      <c r="K23" s="560">
        <v>113.42</v>
      </c>
      <c r="L23" s="560">
        <v>34.19</v>
      </c>
      <c r="M23" s="560">
        <v>103.14</v>
      </c>
      <c r="N23" s="560">
        <v>54.37</v>
      </c>
      <c r="O23" s="560">
        <v>260.33</v>
      </c>
      <c r="P23" s="560">
        <v>72.77</v>
      </c>
      <c r="Q23" s="560">
        <v>94.7</v>
      </c>
      <c r="R23" s="560">
        <v>33.6</v>
      </c>
      <c r="S23" s="560">
        <v>957.77</v>
      </c>
      <c r="T23" s="560">
        <v>141.93</v>
      </c>
      <c r="U23" s="561">
        <v>319.39999999999998</v>
      </c>
      <c r="V23" s="560">
        <v>273.18</v>
      </c>
      <c r="W23" s="560">
        <v>57.67</v>
      </c>
      <c r="X23" s="560">
        <v>104.33</v>
      </c>
      <c r="Y23" s="560">
        <v>166.47</v>
      </c>
      <c r="Z23" s="560">
        <v>346.9</v>
      </c>
      <c r="AA23" s="560">
        <v>30.4</v>
      </c>
      <c r="AB23" s="560">
        <v>160.66</v>
      </c>
      <c r="AC23" s="560">
        <v>227.61</v>
      </c>
      <c r="AD23" s="560">
        <v>155.03</v>
      </c>
      <c r="AE23" s="560">
        <v>236.22</v>
      </c>
      <c r="AF23" s="560">
        <v>156.91999999999999</v>
      </c>
      <c r="AG23" s="560">
        <v>140.07</v>
      </c>
      <c r="AH23" s="560">
        <v>818.02</v>
      </c>
      <c r="AI23" s="560">
        <v>458.33</v>
      </c>
      <c r="AJ23" s="560">
        <v>212.1</v>
      </c>
      <c r="AK23" s="560">
        <v>308.72000000000003</v>
      </c>
      <c r="AL23" s="560">
        <v>682.49</v>
      </c>
      <c r="AM23" s="560">
        <v>77.849999999999994</v>
      </c>
      <c r="AN23" s="560">
        <v>359.12</v>
      </c>
      <c r="AO23" s="560">
        <v>67.760000000000005</v>
      </c>
      <c r="AP23" s="560">
        <v>559.53</v>
      </c>
      <c r="AQ23" s="560">
        <v>531.33000000000004</v>
      </c>
      <c r="AR23" s="560">
        <v>141.72999999999999</v>
      </c>
      <c r="AS23" s="560">
        <v>165.75</v>
      </c>
      <c r="AT23" s="560">
        <v>257.41000000000003</v>
      </c>
      <c r="AU23" s="560">
        <v>238.37</v>
      </c>
      <c r="AV23" s="560">
        <v>539.27</v>
      </c>
      <c r="AW23" s="560">
        <v>421.85</v>
      </c>
      <c r="AX23" s="560">
        <v>253.48</v>
      </c>
      <c r="AY23" s="561">
        <v>249.59</v>
      </c>
      <c r="AZ23" s="561">
        <v>42.93</v>
      </c>
      <c r="BA23" s="561">
        <v>92.41</v>
      </c>
      <c r="BB23" s="561">
        <v>227.57</v>
      </c>
    </row>
    <row r="24" spans="1:54">
      <c r="A24" s="162">
        <f t="shared" si="1"/>
        <v>22</v>
      </c>
      <c r="B24" s="559">
        <v>45764</v>
      </c>
      <c r="C24" s="560">
        <v>130.97999999999999</v>
      </c>
      <c r="D24" s="560">
        <v>172.99</v>
      </c>
      <c r="E24" s="560">
        <v>153.36000000000001</v>
      </c>
      <c r="F24" s="560">
        <v>83.18</v>
      </c>
      <c r="G24" s="560">
        <v>277.29000000000002</v>
      </c>
      <c r="H24" s="560">
        <v>143.83000000000001</v>
      </c>
      <c r="I24" s="560">
        <v>293.27999999999997</v>
      </c>
      <c r="J24" s="560">
        <v>49.23</v>
      </c>
      <c r="K24" s="560">
        <v>117.22</v>
      </c>
      <c r="L24" s="560">
        <v>33.79</v>
      </c>
      <c r="M24" s="560">
        <v>105.37</v>
      </c>
      <c r="N24" s="560">
        <v>55.76</v>
      </c>
      <c r="O24" s="560">
        <v>262.52999999999997</v>
      </c>
      <c r="P24" s="560">
        <v>73</v>
      </c>
      <c r="Q24" s="560">
        <v>95.5</v>
      </c>
      <c r="R24" s="560">
        <v>34.01</v>
      </c>
      <c r="S24" s="560">
        <v>994.5</v>
      </c>
      <c r="T24" s="560">
        <v>145.61000000000001</v>
      </c>
      <c r="U24" s="561">
        <v>329.22</v>
      </c>
      <c r="V24" s="560">
        <v>276.08</v>
      </c>
      <c r="W24" s="560">
        <v>57.51</v>
      </c>
      <c r="X24" s="560">
        <v>104.54</v>
      </c>
      <c r="Y24" s="560">
        <v>166.59</v>
      </c>
      <c r="Z24" s="560">
        <v>355.06</v>
      </c>
      <c r="AA24" s="560">
        <v>30.58</v>
      </c>
      <c r="AB24" s="560">
        <v>163.95</v>
      </c>
      <c r="AC24" s="560">
        <v>230.84</v>
      </c>
      <c r="AD24" s="560">
        <v>158.63999999999999</v>
      </c>
      <c r="AE24" s="560">
        <v>238.81</v>
      </c>
      <c r="AF24" s="560">
        <v>157.47</v>
      </c>
      <c r="AG24" s="560">
        <v>142.81</v>
      </c>
      <c r="AH24" s="560">
        <v>839.96</v>
      </c>
      <c r="AI24" s="560">
        <v>464.08</v>
      </c>
      <c r="AJ24" s="560">
        <v>220.07</v>
      </c>
      <c r="AK24" s="560">
        <v>311.3</v>
      </c>
      <c r="AL24" s="560">
        <v>697.08</v>
      </c>
      <c r="AM24" s="560">
        <v>78</v>
      </c>
      <c r="AN24" s="560">
        <v>367.78</v>
      </c>
      <c r="AO24" s="560">
        <v>67.319999999999993</v>
      </c>
      <c r="AP24" s="560">
        <v>564.04</v>
      </c>
      <c r="AQ24" s="560">
        <v>540.39</v>
      </c>
      <c r="AR24" s="560">
        <v>142.84</v>
      </c>
      <c r="AS24" s="560">
        <v>170.63</v>
      </c>
      <c r="AT24" s="560">
        <v>265.45</v>
      </c>
      <c r="AU24" s="560">
        <v>243.28</v>
      </c>
      <c r="AV24" s="560">
        <v>557.24</v>
      </c>
      <c r="AW24" s="560">
        <v>427.5</v>
      </c>
      <c r="AX24" s="560">
        <v>262.04000000000002</v>
      </c>
      <c r="AY24" s="561">
        <v>255.86</v>
      </c>
      <c r="AZ24" s="561">
        <v>44.04</v>
      </c>
      <c r="BA24" s="561">
        <v>93.22</v>
      </c>
      <c r="BB24" s="561">
        <v>230.91</v>
      </c>
    </row>
    <row r="25" spans="1:54">
      <c r="A25" s="162">
        <f t="shared" si="1"/>
        <v>23</v>
      </c>
      <c r="B25" s="559">
        <v>45763</v>
      </c>
      <c r="C25" s="560">
        <v>129.69999999999999</v>
      </c>
      <c r="D25" s="560">
        <v>171.68</v>
      </c>
      <c r="E25" s="560">
        <v>155.5</v>
      </c>
      <c r="F25" s="560">
        <v>83.28</v>
      </c>
      <c r="G25" s="560">
        <v>282.64</v>
      </c>
      <c r="H25" s="560">
        <v>145</v>
      </c>
      <c r="I25" s="560">
        <v>294.14</v>
      </c>
      <c r="J25" s="560">
        <v>49.36</v>
      </c>
      <c r="K25" s="560">
        <v>118.8</v>
      </c>
      <c r="L25" s="560">
        <v>33.020000000000003</v>
      </c>
      <c r="M25" s="560">
        <v>102.96</v>
      </c>
      <c r="N25" s="560">
        <v>55.76</v>
      </c>
      <c r="O25" s="560">
        <v>261.39</v>
      </c>
      <c r="P25" s="560">
        <v>71.680000000000007</v>
      </c>
      <c r="Q25" s="560">
        <v>93.49</v>
      </c>
      <c r="R25" s="560">
        <v>33.549999999999997</v>
      </c>
      <c r="S25" s="560">
        <v>967.75</v>
      </c>
      <c r="T25" s="560">
        <v>142.97</v>
      </c>
      <c r="U25" s="561">
        <v>332.66</v>
      </c>
      <c r="V25" s="560">
        <v>276.63</v>
      </c>
      <c r="W25" s="560">
        <v>56.47</v>
      </c>
      <c r="X25" s="560">
        <v>104.88</v>
      </c>
      <c r="Y25" s="560">
        <v>164.23</v>
      </c>
      <c r="Z25" s="560">
        <v>345.99</v>
      </c>
      <c r="AA25" s="560">
        <v>30.18</v>
      </c>
      <c r="AB25" s="560">
        <v>164.08</v>
      </c>
      <c r="AC25" s="560">
        <v>229.8</v>
      </c>
      <c r="AD25" s="560">
        <v>158.44</v>
      </c>
      <c r="AE25" s="560">
        <v>238.57</v>
      </c>
      <c r="AF25" s="560">
        <v>153.91</v>
      </c>
      <c r="AG25" s="560">
        <v>139.69999999999999</v>
      </c>
      <c r="AH25" s="560">
        <v>734.9</v>
      </c>
      <c r="AI25" s="560">
        <v>477.08</v>
      </c>
      <c r="AJ25" s="560">
        <v>231.32</v>
      </c>
      <c r="AK25" s="560">
        <v>309.10000000000002</v>
      </c>
      <c r="AL25" s="560">
        <v>694.7</v>
      </c>
      <c r="AM25" s="560">
        <v>76.459999999999994</v>
      </c>
      <c r="AN25" s="560">
        <v>371.61</v>
      </c>
      <c r="AO25" s="560">
        <v>66.48</v>
      </c>
      <c r="AP25" s="560">
        <v>558.69000000000005</v>
      </c>
      <c r="AQ25" s="560">
        <v>537.51</v>
      </c>
      <c r="AR25" s="560">
        <v>140.09</v>
      </c>
      <c r="AS25" s="560">
        <v>166.39</v>
      </c>
      <c r="AT25" s="560">
        <v>275.13</v>
      </c>
      <c r="AU25" s="560">
        <v>243.61</v>
      </c>
      <c r="AV25" s="560">
        <v>556.27</v>
      </c>
      <c r="AW25" s="560">
        <v>436.79</v>
      </c>
      <c r="AX25" s="560">
        <v>259.64</v>
      </c>
      <c r="AY25" s="561">
        <v>252.48</v>
      </c>
      <c r="AZ25" s="561">
        <v>43.61</v>
      </c>
      <c r="BA25" s="561">
        <v>91.19</v>
      </c>
      <c r="BB25" s="561">
        <v>229.57</v>
      </c>
    </row>
    <row r="26" spans="1:54">
      <c r="A26" s="162">
        <f t="shared" si="1"/>
        <v>24</v>
      </c>
      <c r="B26" s="559">
        <v>45762</v>
      </c>
      <c r="C26" s="560">
        <v>126.22</v>
      </c>
      <c r="D26" s="560">
        <v>176.8</v>
      </c>
      <c r="E26" s="560">
        <v>158.68</v>
      </c>
      <c r="F26" s="560">
        <v>84.55</v>
      </c>
      <c r="G26" s="560">
        <v>295.3</v>
      </c>
      <c r="H26" s="560">
        <v>143.94</v>
      </c>
      <c r="I26" s="560">
        <v>298.06</v>
      </c>
      <c r="J26" s="560">
        <v>50</v>
      </c>
      <c r="K26" s="560">
        <v>119.53</v>
      </c>
      <c r="L26" s="560">
        <v>33.44</v>
      </c>
      <c r="M26" s="560">
        <v>105.07</v>
      </c>
      <c r="N26" s="560">
        <v>57.2</v>
      </c>
      <c r="O26" s="560">
        <v>262.87</v>
      </c>
      <c r="P26" s="560">
        <v>71.86</v>
      </c>
      <c r="Q26" s="560">
        <v>94.26</v>
      </c>
      <c r="R26" s="560">
        <v>34.4</v>
      </c>
      <c r="S26" s="560">
        <v>976.92</v>
      </c>
      <c r="T26" s="560">
        <v>145.61000000000001</v>
      </c>
      <c r="U26" s="561">
        <v>335.56</v>
      </c>
      <c r="V26" s="560">
        <v>277.14</v>
      </c>
      <c r="W26" s="560">
        <v>57.85</v>
      </c>
      <c r="X26" s="560">
        <v>105.68</v>
      </c>
      <c r="Y26" s="560">
        <v>167.95</v>
      </c>
      <c r="Z26" s="560">
        <v>354.11</v>
      </c>
      <c r="AA26" s="560">
        <v>30.38</v>
      </c>
      <c r="AB26" s="560">
        <v>167.34</v>
      </c>
      <c r="AC26" s="560">
        <v>231.5</v>
      </c>
      <c r="AD26" s="560">
        <v>159.94999999999999</v>
      </c>
      <c r="AE26" s="560">
        <v>240.7</v>
      </c>
      <c r="AF26" s="560">
        <v>153.62</v>
      </c>
      <c r="AG26" s="560">
        <v>141.47</v>
      </c>
      <c r="AH26" s="560">
        <v>757.18</v>
      </c>
      <c r="AI26" s="560">
        <v>469.58</v>
      </c>
      <c r="AJ26" s="560">
        <v>232.36</v>
      </c>
      <c r="AK26" s="560">
        <v>312.48</v>
      </c>
      <c r="AL26" s="560">
        <v>692.86</v>
      </c>
      <c r="AM26" s="560">
        <v>78.39</v>
      </c>
      <c r="AN26" s="560">
        <v>385.73</v>
      </c>
      <c r="AO26" s="560">
        <v>67.03</v>
      </c>
      <c r="AP26" s="560">
        <v>561.85</v>
      </c>
      <c r="AQ26" s="560">
        <v>529.36</v>
      </c>
      <c r="AR26" s="560">
        <v>142.84</v>
      </c>
      <c r="AS26" s="560">
        <v>168.47</v>
      </c>
      <c r="AT26" s="560">
        <v>276.11</v>
      </c>
      <c r="AU26" s="560">
        <v>245</v>
      </c>
      <c r="AV26" s="560">
        <v>567.08000000000004</v>
      </c>
      <c r="AW26" s="560">
        <v>441</v>
      </c>
      <c r="AX26" s="560">
        <v>266.70999999999998</v>
      </c>
      <c r="AY26" s="561">
        <v>249.66</v>
      </c>
      <c r="AZ26" s="561">
        <v>44.48</v>
      </c>
      <c r="BA26" s="561">
        <v>93.97</v>
      </c>
      <c r="BB26" s="561">
        <v>231.48</v>
      </c>
    </row>
    <row r="27" spans="1:54">
      <c r="A27" s="162">
        <f t="shared" si="1"/>
        <v>25</v>
      </c>
      <c r="B27" s="559">
        <v>45761</v>
      </c>
      <c r="C27" s="560">
        <v>127.96</v>
      </c>
      <c r="D27" s="560">
        <v>179.1</v>
      </c>
      <c r="E27" s="560">
        <v>161.47</v>
      </c>
      <c r="F27" s="560">
        <v>84.1</v>
      </c>
      <c r="G27" s="560">
        <v>293.92</v>
      </c>
      <c r="H27" s="560">
        <v>145.79</v>
      </c>
      <c r="I27" s="560">
        <v>301.56</v>
      </c>
      <c r="J27" s="560">
        <v>51.34</v>
      </c>
      <c r="K27" s="560">
        <v>120.9</v>
      </c>
      <c r="L27" s="560">
        <v>34.450000000000003</v>
      </c>
      <c r="M27" s="560">
        <v>105.58</v>
      </c>
      <c r="N27" s="560">
        <v>57.41</v>
      </c>
      <c r="O27" s="560">
        <v>263.69</v>
      </c>
      <c r="P27" s="560">
        <v>72.45</v>
      </c>
      <c r="Q27" s="560">
        <v>94.98</v>
      </c>
      <c r="R27" s="560">
        <v>34.15</v>
      </c>
      <c r="S27" s="560">
        <v>979.32</v>
      </c>
      <c r="T27" s="560">
        <v>145.5</v>
      </c>
      <c r="U27" s="561">
        <v>342.92</v>
      </c>
      <c r="V27" s="560">
        <v>278.77999999999997</v>
      </c>
      <c r="W27" s="560">
        <v>59</v>
      </c>
      <c r="X27" s="560">
        <v>106.5</v>
      </c>
      <c r="Y27" s="560">
        <v>170.3</v>
      </c>
      <c r="Z27" s="560">
        <v>357.2</v>
      </c>
      <c r="AA27" s="560">
        <v>30.55</v>
      </c>
      <c r="AB27" s="560">
        <v>169.86</v>
      </c>
      <c r="AC27" s="560">
        <v>233.55</v>
      </c>
      <c r="AD27" s="560">
        <v>159.79</v>
      </c>
      <c r="AE27" s="560">
        <v>239.06</v>
      </c>
      <c r="AF27" s="560">
        <v>154.36000000000001</v>
      </c>
      <c r="AG27" s="560">
        <v>142.56</v>
      </c>
      <c r="AH27" s="560">
        <v>754.35</v>
      </c>
      <c r="AI27" s="560">
        <v>475.34</v>
      </c>
      <c r="AJ27" s="560">
        <v>237.32</v>
      </c>
      <c r="AK27" s="560">
        <v>316.07</v>
      </c>
      <c r="AL27" s="560">
        <v>693.98</v>
      </c>
      <c r="AM27" s="560">
        <v>79.17</v>
      </c>
      <c r="AN27" s="560">
        <v>387.81</v>
      </c>
      <c r="AO27" s="560">
        <v>68.3</v>
      </c>
      <c r="AP27" s="560">
        <v>565.57000000000005</v>
      </c>
      <c r="AQ27" s="560">
        <v>535.82000000000005</v>
      </c>
      <c r="AR27" s="560">
        <v>146.75</v>
      </c>
      <c r="AS27" s="560">
        <v>169.13</v>
      </c>
      <c r="AT27" s="560">
        <v>278.56</v>
      </c>
      <c r="AU27" s="560">
        <v>245.56</v>
      </c>
      <c r="AV27" s="560">
        <v>565.88</v>
      </c>
      <c r="AW27" s="560">
        <v>449.33</v>
      </c>
      <c r="AX27" s="560">
        <v>262.64</v>
      </c>
      <c r="AY27" s="561">
        <v>250.84</v>
      </c>
      <c r="AZ27" s="561">
        <v>44.3</v>
      </c>
      <c r="BA27" s="561">
        <v>94.73</v>
      </c>
      <c r="BB27" s="561">
        <v>232.3</v>
      </c>
    </row>
    <row r="28" spans="1:54">
      <c r="A28" s="162">
        <f t="shared" si="1"/>
        <v>26</v>
      </c>
      <c r="B28" s="559">
        <v>45758</v>
      </c>
      <c r="C28" s="560">
        <v>126.88</v>
      </c>
      <c r="D28" s="560">
        <v>175.05</v>
      </c>
      <c r="E28" s="560">
        <v>159.4</v>
      </c>
      <c r="F28" s="560">
        <v>83.18</v>
      </c>
      <c r="G28" s="560">
        <v>285.98</v>
      </c>
      <c r="H28" s="560">
        <v>144.11000000000001</v>
      </c>
      <c r="I28" s="560">
        <v>299.54000000000002</v>
      </c>
      <c r="J28" s="560">
        <v>50.71</v>
      </c>
      <c r="K28" s="560">
        <v>118.86</v>
      </c>
      <c r="L28" s="560">
        <v>34.31</v>
      </c>
      <c r="M28" s="560">
        <v>104.35</v>
      </c>
      <c r="N28" s="560">
        <v>57.33</v>
      </c>
      <c r="O28" s="560">
        <v>261.54000000000002</v>
      </c>
      <c r="P28" s="560">
        <v>71.430000000000007</v>
      </c>
      <c r="Q28" s="560">
        <v>94</v>
      </c>
      <c r="R28" s="560">
        <v>33.72</v>
      </c>
      <c r="S28" s="560">
        <v>963.41</v>
      </c>
      <c r="T28" s="560">
        <v>142.93</v>
      </c>
      <c r="U28" s="561">
        <v>334.02</v>
      </c>
      <c r="V28" s="560">
        <v>276.64999999999998</v>
      </c>
      <c r="W28" s="560">
        <v>57.97</v>
      </c>
      <c r="X28" s="560">
        <v>103.63</v>
      </c>
      <c r="Y28" s="560">
        <v>165.65</v>
      </c>
      <c r="Z28" s="560">
        <v>353.86</v>
      </c>
      <c r="AA28" s="560">
        <v>30.31</v>
      </c>
      <c r="AB28" s="560">
        <v>168.51</v>
      </c>
      <c r="AC28" s="560">
        <v>232.32</v>
      </c>
      <c r="AD28" s="560">
        <v>155.91</v>
      </c>
      <c r="AE28" s="560">
        <v>235.48</v>
      </c>
      <c r="AF28" s="560">
        <v>151.72999999999999</v>
      </c>
      <c r="AG28" s="560">
        <v>139.76</v>
      </c>
      <c r="AH28" s="560">
        <v>732.41</v>
      </c>
      <c r="AI28" s="560">
        <v>474.9</v>
      </c>
      <c r="AJ28" s="560">
        <v>233.34</v>
      </c>
      <c r="AK28" s="560">
        <v>309.89999999999998</v>
      </c>
      <c r="AL28" s="560">
        <v>689.36</v>
      </c>
      <c r="AM28" s="560">
        <v>79.180000000000007</v>
      </c>
      <c r="AN28" s="560">
        <v>388.45</v>
      </c>
      <c r="AO28" s="560">
        <v>67.05</v>
      </c>
      <c r="AP28" s="560">
        <v>563.63</v>
      </c>
      <c r="AQ28" s="560">
        <v>533.99</v>
      </c>
      <c r="AR28" s="560">
        <v>144.43</v>
      </c>
      <c r="AS28" s="560">
        <v>166.91</v>
      </c>
      <c r="AT28" s="560">
        <v>275.64</v>
      </c>
      <c r="AU28" s="560">
        <v>243.92</v>
      </c>
      <c r="AV28" s="560">
        <v>560.16</v>
      </c>
      <c r="AW28" s="560">
        <v>438.15</v>
      </c>
      <c r="AX28" s="560">
        <v>258.67</v>
      </c>
      <c r="AY28" s="561">
        <v>245.13</v>
      </c>
      <c r="AZ28" s="561">
        <v>43.73</v>
      </c>
      <c r="BA28" s="561">
        <v>92.8</v>
      </c>
      <c r="BB28" s="561">
        <v>229.38</v>
      </c>
    </row>
    <row r="29" spans="1:54">
      <c r="A29" s="162">
        <f t="shared" si="1"/>
        <v>27</v>
      </c>
      <c r="B29" s="559">
        <v>45757</v>
      </c>
      <c r="C29" s="560">
        <v>124.5</v>
      </c>
      <c r="D29" s="560">
        <v>174.2</v>
      </c>
      <c r="E29" s="560">
        <v>155.37</v>
      </c>
      <c r="F29" s="560">
        <v>82.21</v>
      </c>
      <c r="G29" s="560">
        <v>281.41000000000003</v>
      </c>
      <c r="H29" s="560">
        <v>140.76</v>
      </c>
      <c r="I29" s="560">
        <v>292.20999999999998</v>
      </c>
      <c r="J29" s="560">
        <v>50.46</v>
      </c>
      <c r="K29" s="560">
        <v>117.26</v>
      </c>
      <c r="L29" s="560">
        <v>33.64</v>
      </c>
      <c r="M29" s="560">
        <v>103.77</v>
      </c>
      <c r="N29" s="560">
        <v>56.59</v>
      </c>
      <c r="O29" s="560">
        <v>258.39</v>
      </c>
      <c r="P29" s="560">
        <v>70.760000000000005</v>
      </c>
      <c r="Q29" s="560">
        <v>91.8</v>
      </c>
      <c r="R29" s="560">
        <v>33.68</v>
      </c>
      <c r="S29" s="560">
        <v>964.31</v>
      </c>
      <c r="T29" s="560">
        <v>139.38999999999999</v>
      </c>
      <c r="U29" s="561">
        <v>325.72000000000003</v>
      </c>
      <c r="V29" s="560">
        <v>271.82</v>
      </c>
      <c r="W29" s="560">
        <v>57.17</v>
      </c>
      <c r="X29" s="560">
        <v>101.4</v>
      </c>
      <c r="Y29" s="560">
        <v>164.09</v>
      </c>
      <c r="Z29" s="560">
        <v>353.62</v>
      </c>
      <c r="AA29" s="560">
        <v>29.51</v>
      </c>
      <c r="AB29" s="560">
        <v>166.97</v>
      </c>
      <c r="AC29" s="560">
        <v>226.81</v>
      </c>
      <c r="AD29" s="560">
        <v>155.19</v>
      </c>
      <c r="AE29" s="560">
        <v>229.55</v>
      </c>
      <c r="AF29" s="560">
        <v>148.69</v>
      </c>
      <c r="AG29" s="560">
        <v>137.49</v>
      </c>
      <c r="AH29" s="560">
        <v>720.91</v>
      </c>
      <c r="AI29" s="560">
        <v>463.7</v>
      </c>
      <c r="AJ29" s="560">
        <v>228.77</v>
      </c>
      <c r="AK29" s="560">
        <v>306.77999999999997</v>
      </c>
      <c r="AL29" s="560">
        <v>679.33</v>
      </c>
      <c r="AM29" s="560">
        <v>77.55</v>
      </c>
      <c r="AN29" s="560">
        <v>381.35</v>
      </c>
      <c r="AO29" s="560">
        <v>65.98</v>
      </c>
      <c r="AP29" s="560">
        <v>548.41</v>
      </c>
      <c r="AQ29" s="560">
        <v>516.09</v>
      </c>
      <c r="AR29" s="560">
        <v>144.13999999999999</v>
      </c>
      <c r="AS29" s="560">
        <v>163.56</v>
      </c>
      <c r="AT29" s="560">
        <v>273.18</v>
      </c>
      <c r="AU29" s="560">
        <v>240.23</v>
      </c>
      <c r="AV29" s="560">
        <v>549.6</v>
      </c>
      <c r="AW29" s="560">
        <v>427.44</v>
      </c>
      <c r="AX29" s="560">
        <v>256.12</v>
      </c>
      <c r="AY29" s="561">
        <v>245.17</v>
      </c>
      <c r="AZ29" s="561">
        <v>42.92</v>
      </c>
      <c r="BA29" s="561">
        <v>90.61</v>
      </c>
      <c r="BB29" s="561">
        <v>226.45</v>
      </c>
    </row>
    <row r="30" spans="1:54">
      <c r="A30" s="162">
        <f t="shared" si="1"/>
        <v>28</v>
      </c>
      <c r="B30" s="559">
        <v>45756</v>
      </c>
      <c r="C30" s="560">
        <v>127.04</v>
      </c>
      <c r="D30" s="560">
        <v>179.84</v>
      </c>
      <c r="E30" s="560">
        <v>161.06</v>
      </c>
      <c r="F30" s="560">
        <v>85.32</v>
      </c>
      <c r="G30" s="560">
        <v>291.08999999999997</v>
      </c>
      <c r="H30" s="560">
        <v>143.75</v>
      </c>
      <c r="I30" s="560">
        <v>294.69</v>
      </c>
      <c r="J30" s="560">
        <v>53.74</v>
      </c>
      <c r="K30" s="560">
        <v>116.64</v>
      </c>
      <c r="L30" s="560">
        <v>34.119999999999997</v>
      </c>
      <c r="M30" s="560">
        <v>101.91</v>
      </c>
      <c r="N30" s="560">
        <v>58.13</v>
      </c>
      <c r="O30" s="560">
        <v>254.13</v>
      </c>
      <c r="P30" s="560">
        <v>69.95</v>
      </c>
      <c r="Q30" s="560">
        <v>90.23</v>
      </c>
      <c r="R30" s="560">
        <v>35.18</v>
      </c>
      <c r="S30" s="560">
        <v>965.19</v>
      </c>
      <c r="T30" s="560">
        <v>136.58000000000001</v>
      </c>
      <c r="U30" s="561">
        <v>323.82</v>
      </c>
      <c r="V30" s="560">
        <v>271.52</v>
      </c>
      <c r="W30" s="560">
        <v>58.06</v>
      </c>
      <c r="X30" s="560">
        <v>105.25</v>
      </c>
      <c r="Y30" s="560">
        <v>164.16</v>
      </c>
      <c r="Z30" s="560">
        <v>355.39</v>
      </c>
      <c r="AA30" s="560">
        <v>29.71</v>
      </c>
      <c r="AB30" s="560">
        <v>173.8</v>
      </c>
      <c r="AC30" s="560">
        <v>234.87</v>
      </c>
      <c r="AD30" s="560">
        <v>156.81</v>
      </c>
      <c r="AE30" s="560">
        <v>235.31</v>
      </c>
      <c r="AF30" s="560">
        <v>150.97</v>
      </c>
      <c r="AG30" s="560">
        <v>135.15</v>
      </c>
      <c r="AH30" s="560">
        <v>753.71</v>
      </c>
      <c r="AI30" s="560">
        <v>462.24</v>
      </c>
      <c r="AJ30" s="560">
        <v>229.56</v>
      </c>
      <c r="AK30" s="560">
        <v>303.95999999999998</v>
      </c>
      <c r="AL30" s="560">
        <v>671.76</v>
      </c>
      <c r="AM30" s="560">
        <v>81.91</v>
      </c>
      <c r="AN30" s="560">
        <v>390.49</v>
      </c>
      <c r="AO30" s="560">
        <v>66.19</v>
      </c>
      <c r="AP30" s="560">
        <v>549.66</v>
      </c>
      <c r="AQ30" s="560">
        <v>512.29999999999995</v>
      </c>
      <c r="AR30" s="560">
        <v>145.59</v>
      </c>
      <c r="AS30" s="560">
        <v>162.32</v>
      </c>
      <c r="AT30" s="560">
        <v>270.11</v>
      </c>
      <c r="AU30" s="560">
        <v>239.26</v>
      </c>
      <c r="AV30" s="560">
        <v>553.76</v>
      </c>
      <c r="AW30" s="560">
        <v>453.55</v>
      </c>
      <c r="AX30" s="560">
        <v>254.9</v>
      </c>
      <c r="AY30" s="561">
        <v>248.1</v>
      </c>
      <c r="AZ30" s="561">
        <v>42.89</v>
      </c>
      <c r="BA30" s="561">
        <v>89.6</v>
      </c>
      <c r="BB30" s="561">
        <v>224.42</v>
      </c>
    </row>
    <row r="31" spans="1:54">
      <c r="A31" s="162">
        <f t="shared" si="1"/>
        <v>29</v>
      </c>
      <c r="B31" s="559">
        <v>45755</v>
      </c>
      <c r="C31" s="560">
        <v>123.95</v>
      </c>
      <c r="D31" s="560">
        <v>175.67</v>
      </c>
      <c r="E31" s="560">
        <v>146.58000000000001</v>
      </c>
      <c r="F31" s="560">
        <v>80.459999999999994</v>
      </c>
      <c r="G31" s="560">
        <v>280.26</v>
      </c>
      <c r="H31" s="560">
        <v>133.66</v>
      </c>
      <c r="I31" s="560">
        <v>276.76</v>
      </c>
      <c r="J31" s="560">
        <v>53.07</v>
      </c>
      <c r="K31" s="560">
        <v>112.41</v>
      </c>
      <c r="L31" s="560">
        <v>31.46</v>
      </c>
      <c r="M31" s="560">
        <v>101.6</v>
      </c>
      <c r="N31" s="560">
        <v>53.19</v>
      </c>
      <c r="O31" s="560">
        <v>255.03</v>
      </c>
      <c r="P31" s="560">
        <v>68.42</v>
      </c>
      <c r="Q31" s="560">
        <v>88.6</v>
      </c>
      <c r="R31" s="560">
        <v>32.840000000000003</v>
      </c>
      <c r="S31" s="560">
        <v>908.75</v>
      </c>
      <c r="T31" s="560">
        <v>132.53</v>
      </c>
      <c r="U31" s="561">
        <v>311.52999999999997</v>
      </c>
      <c r="V31" s="560">
        <v>254.4</v>
      </c>
      <c r="W31" s="560">
        <v>56.7</v>
      </c>
      <c r="X31" s="560">
        <v>103.19</v>
      </c>
      <c r="Y31" s="560">
        <v>159.1</v>
      </c>
      <c r="Z31" s="560">
        <v>335.24</v>
      </c>
      <c r="AA31" s="560">
        <v>29.32</v>
      </c>
      <c r="AB31" s="560">
        <v>161.94</v>
      </c>
      <c r="AC31" s="560">
        <v>218.41</v>
      </c>
      <c r="AD31" s="560">
        <v>151.62</v>
      </c>
      <c r="AE31" s="560">
        <v>221.03</v>
      </c>
      <c r="AF31" s="560">
        <v>150</v>
      </c>
      <c r="AG31" s="560">
        <v>133.28</v>
      </c>
      <c r="AH31" s="560">
        <v>726.24</v>
      </c>
      <c r="AI31" s="560">
        <v>443.36</v>
      </c>
      <c r="AJ31" s="560">
        <v>220.65</v>
      </c>
      <c r="AK31" s="560">
        <v>299.83</v>
      </c>
      <c r="AL31" s="560">
        <v>652.83000000000004</v>
      </c>
      <c r="AM31" s="560">
        <v>78.95</v>
      </c>
      <c r="AN31" s="560">
        <v>354.56</v>
      </c>
      <c r="AO31" s="560">
        <v>64.06</v>
      </c>
      <c r="AP31" s="560">
        <v>519.95000000000005</v>
      </c>
      <c r="AQ31" s="560">
        <v>491.97</v>
      </c>
      <c r="AR31" s="560">
        <v>140.30000000000001</v>
      </c>
      <c r="AS31" s="560">
        <v>158.38999999999999</v>
      </c>
      <c r="AT31" s="560">
        <v>260.38</v>
      </c>
      <c r="AU31" s="560">
        <v>227.2</v>
      </c>
      <c r="AV31" s="560">
        <v>519.19000000000005</v>
      </c>
      <c r="AW31" s="560">
        <v>419.31</v>
      </c>
      <c r="AX31" s="560">
        <v>246.3</v>
      </c>
      <c r="AY31" s="561">
        <v>236.53</v>
      </c>
      <c r="AZ31" s="561">
        <v>42.17</v>
      </c>
      <c r="BA31" s="561">
        <v>81.790000000000006</v>
      </c>
      <c r="BB31" s="561">
        <v>216.47</v>
      </c>
    </row>
    <row r="32" spans="1:54">
      <c r="A32" s="162">
        <f t="shared" si="1"/>
        <v>30</v>
      </c>
      <c r="B32" s="559">
        <v>45754</v>
      </c>
      <c r="C32" s="560">
        <v>124.86</v>
      </c>
      <c r="D32" s="560">
        <v>186.55</v>
      </c>
      <c r="E32" s="560">
        <v>149.24</v>
      </c>
      <c r="F32" s="560">
        <v>82.08</v>
      </c>
      <c r="G32" s="560">
        <v>289.69</v>
      </c>
      <c r="H32" s="560">
        <v>134.65</v>
      </c>
      <c r="I32" s="560">
        <v>281.22000000000003</v>
      </c>
      <c r="J32" s="560">
        <v>55.19</v>
      </c>
      <c r="K32" s="560">
        <v>112.67</v>
      </c>
      <c r="L32" s="560">
        <v>32.76</v>
      </c>
      <c r="M32" s="560">
        <v>102.55</v>
      </c>
      <c r="N32" s="560">
        <v>54.41</v>
      </c>
      <c r="O32" s="560">
        <v>252.37</v>
      </c>
      <c r="P32" s="560">
        <v>68.37</v>
      </c>
      <c r="Q32" s="560">
        <v>89.19</v>
      </c>
      <c r="R32" s="560">
        <v>33.47</v>
      </c>
      <c r="S32" s="560">
        <v>908.13</v>
      </c>
      <c r="T32" s="560">
        <v>134.62</v>
      </c>
      <c r="U32" s="561">
        <v>310.86</v>
      </c>
      <c r="V32" s="560">
        <v>247.68</v>
      </c>
      <c r="W32" s="560">
        <v>58.63</v>
      </c>
      <c r="X32" s="560">
        <v>105.52</v>
      </c>
      <c r="Y32" s="560">
        <v>162.6</v>
      </c>
      <c r="Z32" s="560">
        <v>341.51</v>
      </c>
      <c r="AA32" s="560">
        <v>30.04</v>
      </c>
      <c r="AB32" s="560">
        <v>162.93</v>
      </c>
      <c r="AC32" s="560">
        <v>221.75</v>
      </c>
      <c r="AD32" s="560">
        <v>154.65</v>
      </c>
      <c r="AE32" s="560">
        <v>225.78</v>
      </c>
      <c r="AF32" s="560">
        <v>150.62</v>
      </c>
      <c r="AG32" s="560">
        <v>134.54</v>
      </c>
      <c r="AH32" s="560">
        <v>723.73</v>
      </c>
      <c r="AI32" s="560">
        <v>430.82</v>
      </c>
      <c r="AJ32" s="560">
        <v>223.74</v>
      </c>
      <c r="AK32" s="560">
        <v>299.89</v>
      </c>
      <c r="AL32" s="560">
        <v>661.97</v>
      </c>
      <c r="AM32" s="560">
        <v>81.180000000000007</v>
      </c>
      <c r="AN32" s="560">
        <v>357.86</v>
      </c>
      <c r="AO32" s="560">
        <v>65.23</v>
      </c>
      <c r="AP32" s="560">
        <v>531.05999999999995</v>
      </c>
      <c r="AQ32" s="560">
        <v>481.57</v>
      </c>
      <c r="AR32" s="560">
        <v>143.19</v>
      </c>
      <c r="AS32" s="560">
        <v>160.22999999999999</v>
      </c>
      <c r="AT32" s="560">
        <v>255.27</v>
      </c>
      <c r="AU32" s="560">
        <v>230.93</v>
      </c>
      <c r="AV32" s="560">
        <v>532.54</v>
      </c>
      <c r="AW32" s="560">
        <v>437.87</v>
      </c>
      <c r="AX32" s="560">
        <v>246.67</v>
      </c>
      <c r="AY32" s="561">
        <v>233.83</v>
      </c>
      <c r="AZ32" s="561">
        <v>42.58</v>
      </c>
      <c r="BA32" s="561">
        <v>83.83</v>
      </c>
      <c r="BB32" s="561">
        <v>220.56</v>
      </c>
    </row>
    <row r="34" spans="1:54">
      <c r="B34" s="562" t="s">
        <v>47</v>
      </c>
      <c r="C34" s="563">
        <f>AVERAGE(C3:C32)</f>
        <v>130.21366666666665</v>
      </c>
      <c r="D34" s="563">
        <f t="shared" ref="D34:AZ34" si="2">AVERAGE(D3:D32)</f>
        <v>183.34900000000005</v>
      </c>
      <c r="E34" s="563">
        <f t="shared" si="2"/>
        <v>159.45299999999997</v>
      </c>
      <c r="F34" s="563">
        <f t="shared" si="2"/>
        <v>87.084666666666664</v>
      </c>
      <c r="G34" s="563">
        <f t="shared" si="2"/>
        <v>279.58333333333337</v>
      </c>
      <c r="H34" s="563">
        <f t="shared" si="2"/>
        <v>148.50133333333332</v>
      </c>
      <c r="I34" s="563">
        <f t="shared" si="2"/>
        <v>299.78966666666668</v>
      </c>
      <c r="J34" s="563">
        <f t="shared" si="2"/>
        <v>49.076333333333331</v>
      </c>
      <c r="K34" s="563">
        <f t="shared" si="2"/>
        <v>113.53166666666669</v>
      </c>
      <c r="L34" s="563">
        <f t="shared" si="2"/>
        <v>34.335000000000008</v>
      </c>
      <c r="M34" s="563">
        <f t="shared" si="2"/>
        <v>98.455333333333328</v>
      </c>
      <c r="N34" s="563">
        <f t="shared" si="2"/>
        <v>58.243666666666677</v>
      </c>
      <c r="O34" s="563">
        <f t="shared" si="2"/>
        <v>269.1273333333333</v>
      </c>
      <c r="P34" s="563">
        <f t="shared" si="2"/>
        <v>71.421666666666667</v>
      </c>
      <c r="Q34" s="563">
        <f t="shared" si="2"/>
        <v>91.672000000000025</v>
      </c>
      <c r="R34" s="563">
        <f t="shared" si="2"/>
        <v>34.222333333333331</v>
      </c>
      <c r="S34" s="563">
        <f>AVERAGE(S3:S32)</f>
        <v>986.38466666666659</v>
      </c>
      <c r="T34" s="563">
        <f t="shared" si="2"/>
        <v>146.49766666666662</v>
      </c>
      <c r="U34" s="563">
        <f t="shared" si="2"/>
        <v>329.9906666666667</v>
      </c>
      <c r="V34" s="563">
        <f t="shared" si="2"/>
        <v>272.16833333333329</v>
      </c>
      <c r="W34" s="563">
        <f t="shared" si="2"/>
        <v>56.135333333333342</v>
      </c>
      <c r="X34" s="563">
        <f t="shared" si="2"/>
        <v>103.24800000000002</v>
      </c>
      <c r="Y34" s="563">
        <f t="shared" si="2"/>
        <v>165.19800000000001</v>
      </c>
      <c r="Z34" s="563">
        <f t="shared" si="2"/>
        <v>359.98000000000013</v>
      </c>
      <c r="AA34" s="563">
        <f t="shared" si="2"/>
        <v>29.832666666666665</v>
      </c>
      <c r="AB34" s="563">
        <f t="shared" si="2"/>
        <v>175.57466666666662</v>
      </c>
      <c r="AC34" s="563">
        <f t="shared" si="2"/>
        <v>238.2523333333333</v>
      </c>
      <c r="AD34" s="563">
        <f t="shared" si="2"/>
        <v>166.08499999999998</v>
      </c>
      <c r="AE34" s="563">
        <f t="shared" si="2"/>
        <v>243.93899999999996</v>
      </c>
      <c r="AF34" s="563">
        <f t="shared" si="2"/>
        <v>153.60333333333332</v>
      </c>
      <c r="AG34" s="563">
        <f t="shared" si="2"/>
        <v>135.36066666666665</v>
      </c>
      <c r="AH34" s="563">
        <f t="shared" si="2"/>
        <v>785.47</v>
      </c>
      <c r="AI34" s="563">
        <f t="shared" si="2"/>
        <v>467.25933333333336</v>
      </c>
      <c r="AJ34" s="563">
        <f t="shared" si="2"/>
        <v>225.51599999999999</v>
      </c>
      <c r="AK34" s="563">
        <f t="shared" si="2"/>
        <v>312.84500000000003</v>
      </c>
      <c r="AL34" s="563">
        <f t="shared" si="2"/>
        <v>695.3760000000002</v>
      </c>
      <c r="AM34" s="563">
        <f t="shared" si="2"/>
        <v>79.390333333333331</v>
      </c>
      <c r="AN34" s="563">
        <f t="shared" si="2"/>
        <v>406.78666666666675</v>
      </c>
      <c r="AO34" s="563">
        <f t="shared" si="2"/>
        <v>66.414999999999992</v>
      </c>
      <c r="AP34" s="563">
        <f t="shared" si="2"/>
        <v>598.18500000000006</v>
      </c>
      <c r="AQ34" s="563">
        <f t="shared" si="2"/>
        <v>492.22133333333323</v>
      </c>
      <c r="AR34" s="563">
        <f t="shared" si="2"/>
        <v>136.64950000000002</v>
      </c>
      <c r="AS34" s="563">
        <f t="shared" si="2"/>
        <v>162.49699999999999</v>
      </c>
      <c r="AT34" s="563">
        <f t="shared" si="2"/>
        <v>275.09033333333332</v>
      </c>
      <c r="AU34" s="563">
        <f>AVERAGE(AU3:AU32)</f>
        <v>244.0683333333333</v>
      </c>
      <c r="AV34" s="563">
        <f t="shared" si="2"/>
        <v>560.99133333333339</v>
      </c>
      <c r="AW34" s="563">
        <f t="shared" si="2"/>
        <v>424.69733333333335</v>
      </c>
      <c r="AX34" s="563">
        <f t="shared" si="2"/>
        <v>249.52133333333339</v>
      </c>
      <c r="AY34" s="563">
        <f t="shared" si="2"/>
        <v>259.51499999999999</v>
      </c>
      <c r="AZ34" s="563">
        <f t="shared" si="2"/>
        <v>43.309333333333335</v>
      </c>
      <c r="BA34" s="563">
        <f t="shared" ref="BA34:BB34" si="3">AVERAGE(BA3:BA32)</f>
        <v>94.753</v>
      </c>
      <c r="BB34" s="563">
        <f t="shared" si="3"/>
        <v>229.08566666666667</v>
      </c>
    </row>
    <row r="35" spans="1:54">
      <c r="B35" s="562"/>
    </row>
    <row r="36" spans="1:54">
      <c r="B36" s="562"/>
    </row>
    <row r="37" spans="1:54" s="8" customFormat="1" ht="13">
      <c r="A37" s="8" t="s">
        <v>21</v>
      </c>
      <c r="B37" s="306" t="s">
        <v>1477</v>
      </c>
    </row>
  </sheetData>
  <pageMargins left="0.75" right="0.75" top="1" bottom="1" header="0.5" footer="0.5"/>
  <pageSetup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F5CC8-EE4B-4BC3-881B-654B04441D2E}">
  <sheetPr codeName="Sheet41"/>
  <dimension ref="A1:AA432"/>
  <sheetViews>
    <sheetView zoomScaleNormal="100" zoomScaleSheetLayoutView="70" workbookViewId="0">
      <pane ySplit="4" topLeftCell="A5" activePane="bottomLeft" state="frozen"/>
      <selection activeCell="G1" sqref="G1:I1"/>
      <selection pane="bottomLeft"/>
    </sheetView>
  </sheetViews>
  <sheetFormatPr defaultColWidth="11.26953125" defaultRowHeight="13"/>
  <cols>
    <col min="1" max="1" width="5.54296875" style="509" customWidth="1"/>
    <col min="2" max="2" width="37.453125" style="511" customWidth="1"/>
    <col min="3" max="3" width="7" style="511" bestFit="1" customWidth="1"/>
    <col min="4" max="4" width="10" style="511" customWidth="1"/>
    <col min="5" max="5" width="9.54296875" style="511" bestFit="1" customWidth="1"/>
    <col min="6" max="6" width="11" style="511" customWidth="1"/>
    <col min="7" max="9" width="9.7265625" style="551" customWidth="1"/>
    <col min="10" max="10" width="11.1796875" style="551" bestFit="1" customWidth="1"/>
    <col min="11" max="11" width="14.26953125" style="511" customWidth="1"/>
    <col min="12" max="13" width="12" style="511" customWidth="1"/>
    <col min="14" max="14" width="14.26953125" style="511" customWidth="1"/>
    <col min="15" max="15" width="12" style="511" customWidth="1"/>
    <col min="16" max="16" width="13.26953125" style="511" customWidth="1"/>
    <col min="17" max="17" width="14.26953125" style="511" customWidth="1"/>
    <col min="18" max="18" width="12" style="511" customWidth="1"/>
    <col min="19" max="19" width="13.26953125" style="511" customWidth="1"/>
    <col min="20" max="20" width="14.26953125" style="511" customWidth="1"/>
    <col min="21" max="21" width="12" style="511" customWidth="1"/>
    <col min="22" max="22" width="13.26953125" style="511" customWidth="1"/>
    <col min="23" max="23" width="8.54296875" style="511" customWidth="1"/>
    <col min="24" max="26" width="9.7265625" style="117" customWidth="1"/>
    <col min="27" max="27" width="9.26953125" style="117" customWidth="1"/>
    <col min="28" max="16384" width="11.26953125" style="511"/>
  </cols>
  <sheetData>
    <row r="1" spans="1:27" ht="16">
      <c r="B1" s="510"/>
      <c r="E1" s="512" t="s">
        <v>515</v>
      </c>
      <c r="F1" s="513"/>
      <c r="G1" s="1467" t="s">
        <v>516</v>
      </c>
      <c r="H1" s="1467"/>
      <c r="I1" s="1467"/>
      <c r="J1" s="512" t="s">
        <v>517</v>
      </c>
      <c r="K1" s="513" t="s">
        <v>74</v>
      </c>
      <c r="L1" s="1469" t="s">
        <v>518</v>
      </c>
      <c r="M1" s="1469"/>
      <c r="N1" s="1469" t="s">
        <v>518</v>
      </c>
      <c r="O1" s="1469"/>
      <c r="P1" s="1469"/>
      <c r="Q1" s="1469" t="s">
        <v>518</v>
      </c>
      <c r="R1" s="1469"/>
      <c r="S1" s="1469"/>
      <c r="T1" s="1469" t="s">
        <v>518</v>
      </c>
      <c r="U1" s="1469"/>
      <c r="V1" s="1469"/>
      <c r="W1" s="513"/>
      <c r="X1" s="1467" t="s">
        <v>519</v>
      </c>
      <c r="Y1" s="1467"/>
      <c r="Z1" s="1467"/>
      <c r="AA1" s="511"/>
    </row>
    <row r="2" spans="1:27" ht="14.5">
      <c r="E2" s="512" t="s">
        <v>520</v>
      </c>
      <c r="F2" s="513" t="s">
        <v>521</v>
      </c>
      <c r="G2" s="513" t="s">
        <v>96</v>
      </c>
      <c r="H2" s="513" t="s">
        <v>522</v>
      </c>
      <c r="I2" s="513" t="s">
        <v>97</v>
      </c>
      <c r="J2" s="512" t="s">
        <v>523</v>
      </c>
      <c r="K2" s="513" t="s">
        <v>81</v>
      </c>
      <c r="L2" s="1468" t="s">
        <v>524</v>
      </c>
      <c r="M2" s="1468"/>
      <c r="N2" s="1467" t="s">
        <v>96</v>
      </c>
      <c r="O2" s="1467"/>
      <c r="P2" s="1467"/>
      <c r="Q2" s="1467" t="s">
        <v>60</v>
      </c>
      <c r="R2" s="1467"/>
      <c r="S2" s="1467"/>
      <c r="T2" s="1467" t="s">
        <v>97</v>
      </c>
      <c r="U2" s="1467"/>
      <c r="V2" s="1467"/>
      <c r="W2" s="513"/>
      <c r="X2" s="516"/>
      <c r="Y2" s="516" t="s">
        <v>525</v>
      </c>
      <c r="Z2" s="516"/>
    </row>
    <row r="3" spans="1:27" ht="14.5">
      <c r="B3" s="517" t="s">
        <v>78</v>
      </c>
      <c r="C3" s="514" t="s">
        <v>526</v>
      </c>
      <c r="D3" s="514" t="s">
        <v>240</v>
      </c>
      <c r="E3" s="518" t="s">
        <v>527</v>
      </c>
      <c r="F3" s="514" t="s">
        <v>242</v>
      </c>
      <c r="G3" s="514" t="s">
        <v>528</v>
      </c>
      <c r="H3" s="514" t="s">
        <v>528</v>
      </c>
      <c r="I3" s="514" t="s">
        <v>528</v>
      </c>
      <c r="J3" s="518" t="s">
        <v>529</v>
      </c>
      <c r="K3" s="514" t="s">
        <v>530</v>
      </c>
      <c r="L3" s="514" t="s">
        <v>531</v>
      </c>
      <c r="M3" s="514" t="s">
        <v>532</v>
      </c>
      <c r="N3" s="515" t="s">
        <v>533</v>
      </c>
      <c r="O3" s="514" t="s">
        <v>531</v>
      </c>
      <c r="P3" s="514" t="s">
        <v>532</v>
      </c>
      <c r="Q3" s="515" t="s">
        <v>533</v>
      </c>
      <c r="R3" s="514" t="s">
        <v>531</v>
      </c>
      <c r="S3" s="514" t="s">
        <v>532</v>
      </c>
      <c r="T3" s="515" t="s">
        <v>533</v>
      </c>
      <c r="U3" s="514" t="s">
        <v>531</v>
      </c>
      <c r="V3" s="514" t="s">
        <v>532</v>
      </c>
      <c r="W3" s="514"/>
      <c r="X3" s="514" t="s">
        <v>96</v>
      </c>
      <c r="Y3" s="519" t="s">
        <v>534</v>
      </c>
      <c r="Z3" s="519" t="s">
        <v>97</v>
      </c>
    </row>
    <row r="4" spans="1:27" ht="14.5">
      <c r="B4" s="520" t="s">
        <v>21</v>
      </c>
      <c r="C4" s="520"/>
      <c r="D4" s="521" t="s">
        <v>22</v>
      </c>
      <c r="E4" s="521" t="s">
        <v>22</v>
      </c>
      <c r="F4" s="520"/>
      <c r="G4" s="522" t="s">
        <v>23</v>
      </c>
      <c r="H4" s="520" t="s">
        <v>22</v>
      </c>
      <c r="I4" s="522" t="s">
        <v>24</v>
      </c>
      <c r="J4" s="520" t="s">
        <v>22</v>
      </c>
      <c r="K4" s="520"/>
      <c r="X4" s="523" t="s">
        <v>23</v>
      </c>
      <c r="Y4" s="523" t="s">
        <v>22</v>
      </c>
      <c r="Z4" s="523" t="s">
        <v>24</v>
      </c>
    </row>
    <row r="5" spans="1:27" ht="14.5">
      <c r="A5" s="509">
        <v>1</v>
      </c>
      <c r="B5" s="524" t="s">
        <v>535</v>
      </c>
      <c r="C5" s="525" t="s">
        <v>499</v>
      </c>
      <c r="D5" s="526">
        <v>108.7</v>
      </c>
      <c r="E5" s="527">
        <v>0.99</v>
      </c>
      <c r="F5" s="101">
        <f>E5/D5</f>
        <v>9.1076356945722168E-3</v>
      </c>
      <c r="G5" s="102">
        <f t="shared" ref="G5:G68" si="0">IF(AND(X5&gt;=$F$423,X5&lt;=$F$424),X5,"NMF")</f>
        <v>7.1669999999999998E-2</v>
      </c>
      <c r="H5" s="102">
        <f t="shared" ref="H5:H68" si="1">IF(AND(Y5&gt;=$F$423,Y5&lt;=$F$424),Y5,"NMF")</f>
        <v>7.4999999999999997E-2</v>
      </c>
      <c r="I5" s="102">
        <f t="shared" ref="I5:I68" si="2">IF(AND(Z5&gt;=$F$423,Z5&lt;=$F$424),Z5,"NMF")</f>
        <v>6.4000000000000001E-2</v>
      </c>
      <c r="J5" s="528">
        <v>285.10300000000001</v>
      </c>
      <c r="K5" s="529">
        <f>J5*D5/1000</f>
        <v>30.990696100000001</v>
      </c>
      <c r="L5" s="530">
        <f t="shared" ref="L5:L68" si="3">K5/K$408</f>
        <v>7.6031571633424758E-4</v>
      </c>
      <c r="M5" s="531">
        <f>F5*L5</f>
        <v>6.9246785572300372E-6</v>
      </c>
      <c r="N5" s="532">
        <f>IF(G5="n/a","--",IF(G5="NMF","--",$K5))</f>
        <v>30.990696100000001</v>
      </c>
      <c r="O5" s="533">
        <f t="shared" ref="O5:O68" si="4">IF(N5="--","--",N5/N$408)</f>
        <v>9.2570216577995024E-4</v>
      </c>
      <c r="P5" s="533">
        <f>IF(O5="--","--",G5*O5)</f>
        <v>6.6345074221449031E-5</v>
      </c>
      <c r="Q5" s="532">
        <f>IF(H5="n/a","--",IF(H5="NMF","--",$K5))</f>
        <v>30.990696100000001</v>
      </c>
      <c r="R5" s="534">
        <f t="shared" ref="R5:R68" si="5">IF(Q5="--","--",Q5/Q$408)</f>
        <v>9.332203043169537E-4</v>
      </c>
      <c r="S5" s="533">
        <f>IF(R5="--","--",H5*R5)</f>
        <v>6.9991522823771528E-5</v>
      </c>
      <c r="T5" s="532">
        <f>IF(I5="n/a","--",IF(I5="NMF","--",$K5))</f>
        <v>30.990696100000001</v>
      </c>
      <c r="U5" s="534">
        <f t="shared" ref="U5:U68" si="6">IF(T5="--","--",T5/T$408)</f>
        <v>8.6438341509599743E-4</v>
      </c>
      <c r="V5" s="533">
        <f>IF(U5="--","--",I5*U5)</f>
        <v>5.5320538566143836E-5</v>
      </c>
      <c r="W5" s="533"/>
      <c r="X5" s="535">
        <v>7.1669999999999998E-2</v>
      </c>
      <c r="Y5" s="535">
        <v>7.4999999999999997E-2</v>
      </c>
      <c r="Z5" s="535">
        <v>6.4000000000000001E-2</v>
      </c>
    </row>
    <row r="6" spans="1:27" ht="14.5">
      <c r="A6" s="509">
        <v>2</v>
      </c>
      <c r="B6" s="524" t="s">
        <v>536</v>
      </c>
      <c r="C6" s="525" t="s">
        <v>358</v>
      </c>
      <c r="D6" s="526">
        <v>197.49</v>
      </c>
      <c r="E6" s="527">
        <v>1</v>
      </c>
      <c r="F6" s="101">
        <f t="shared" ref="F6:F69" si="7">E6/D6</f>
        <v>5.0635475213934881E-3</v>
      </c>
      <c r="G6" s="102">
        <f t="shared" si="0"/>
        <v>0.128</v>
      </c>
      <c r="H6" s="102">
        <f t="shared" si="1"/>
        <v>0.11</v>
      </c>
      <c r="I6" s="102">
        <f t="shared" si="2"/>
        <v>0.12590000000000001</v>
      </c>
      <c r="J6" s="528">
        <v>14935.825999999999</v>
      </c>
      <c r="K6" s="529">
        <f t="shared" ref="K6:K69" si="8">J6*D6/1000</f>
        <v>2949.67627674</v>
      </c>
      <c r="L6" s="530">
        <f t="shared" si="3"/>
        <v>7.2366403906097138E-2</v>
      </c>
      <c r="M6" s="531">
        <f t="shared" ref="M6:M69" si="9">F6*L6</f>
        <v>3.6643072513087819E-4</v>
      </c>
      <c r="N6" s="532">
        <f t="shared" ref="N6:N69" si="10">IF(G6="n/a","--",IF(G6="NMF","--",$K6))</f>
        <v>2949.67627674</v>
      </c>
      <c r="O6" s="533">
        <f t="shared" si="4"/>
        <v>8.8107789154434568E-2</v>
      </c>
      <c r="P6" s="533">
        <f t="shared" ref="P6:P69" si="11">IF(O6="--","--",G6*O6)</f>
        <v>1.1277797011767624E-2</v>
      </c>
      <c r="Q6" s="532">
        <f t="shared" ref="Q6:Q69" si="12">IF(H6="n/a","--",IF(H6="NMF","--",$K6))</f>
        <v>2949.67627674</v>
      </c>
      <c r="R6" s="534">
        <f t="shared" si="5"/>
        <v>8.8823361170509554E-2</v>
      </c>
      <c r="S6" s="533">
        <f t="shared" ref="S6:S69" si="13">IF(R6="--","--",H6*R6)</f>
        <v>9.7705697287560518E-3</v>
      </c>
      <c r="T6" s="532">
        <f t="shared" ref="T6:T69" si="14">IF(I6="n/a","--",IF(I6="NMF","--",$K6))</f>
        <v>2949.67627674</v>
      </c>
      <c r="U6" s="534">
        <f t="shared" si="6"/>
        <v>8.2271506431769614E-2</v>
      </c>
      <c r="V6" s="533">
        <f t="shared" ref="V6:V69" si="15">IF(U6="--","--",I6*U6)</f>
        <v>1.0357982659759795E-2</v>
      </c>
      <c r="W6" s="533"/>
      <c r="X6" s="535">
        <v>0.128</v>
      </c>
      <c r="Y6" s="535">
        <v>0.11</v>
      </c>
      <c r="Z6" s="535">
        <v>0.12590000000000001</v>
      </c>
    </row>
    <row r="7" spans="1:27" ht="14.5">
      <c r="A7" s="509">
        <v>3</v>
      </c>
      <c r="B7" s="524" t="s">
        <v>537</v>
      </c>
      <c r="C7" s="525" t="s">
        <v>538</v>
      </c>
      <c r="D7" s="526">
        <v>185.58</v>
      </c>
      <c r="E7" s="527">
        <v>6.56</v>
      </c>
      <c r="F7" s="101">
        <f t="shared" si="7"/>
        <v>3.5348636706541647E-2</v>
      </c>
      <c r="G7" s="102">
        <f t="shared" si="0"/>
        <v>0.16555</v>
      </c>
      <c r="H7" s="102">
        <f t="shared" si="1"/>
        <v>0.05</v>
      </c>
      <c r="I7" s="102">
        <f t="shared" si="2"/>
        <v>0.12269999999999999</v>
      </c>
      <c r="J7" s="528">
        <v>1768.9780000000001</v>
      </c>
      <c r="K7" s="529">
        <f t="shared" si="8"/>
        <v>328.28693724000004</v>
      </c>
      <c r="L7" s="530">
        <f t="shared" si="3"/>
        <v>8.0540855566908938E-3</v>
      </c>
      <c r="M7" s="531">
        <f t="shared" si="9"/>
        <v>2.8470094434687065E-4</v>
      </c>
      <c r="N7" s="532">
        <f t="shared" si="10"/>
        <v>328.28693724000004</v>
      </c>
      <c r="O7" s="533">
        <f t="shared" si="4"/>
        <v>9.8060375223496393E-3</v>
      </c>
      <c r="P7" s="533">
        <f t="shared" si="11"/>
        <v>1.6233895118249828E-3</v>
      </c>
      <c r="Q7" s="532">
        <f t="shared" si="12"/>
        <v>328.28693724000004</v>
      </c>
      <c r="R7" s="534">
        <f t="shared" si="5"/>
        <v>9.8856777687673023E-3</v>
      </c>
      <c r="S7" s="533">
        <f t="shared" si="13"/>
        <v>4.9428388843836518E-4</v>
      </c>
      <c r="T7" s="532">
        <f t="shared" si="14"/>
        <v>328.28693724000004</v>
      </c>
      <c r="U7" s="534">
        <f t="shared" si="6"/>
        <v>9.1564830627640075E-3</v>
      </c>
      <c r="V7" s="533">
        <f t="shared" si="15"/>
        <v>1.1235004718011437E-3</v>
      </c>
      <c r="W7" s="533"/>
      <c r="X7" s="535">
        <v>0.16555</v>
      </c>
      <c r="Y7" s="535">
        <v>0.05</v>
      </c>
      <c r="Z7" s="535">
        <v>0.12269999999999999</v>
      </c>
    </row>
    <row r="8" spans="1:27" ht="14.5">
      <c r="A8" s="509">
        <v>4</v>
      </c>
      <c r="B8" s="524" t="s">
        <v>539</v>
      </c>
      <c r="C8" s="525" t="s">
        <v>350</v>
      </c>
      <c r="D8" s="526">
        <v>134</v>
      </c>
      <c r="E8" s="527">
        <v>2.36</v>
      </c>
      <c r="F8" s="101">
        <f t="shared" si="7"/>
        <v>1.7611940298507461E-2</v>
      </c>
      <c r="G8" s="102">
        <f t="shared" si="0"/>
        <v>0.10050000000000001</v>
      </c>
      <c r="H8" s="102">
        <f t="shared" si="1"/>
        <v>0.06</v>
      </c>
      <c r="I8" s="102">
        <f t="shared" si="2"/>
        <v>0.10279999999999999</v>
      </c>
      <c r="J8" s="528">
        <v>1739.836</v>
      </c>
      <c r="K8" s="529">
        <f t="shared" si="8"/>
        <v>233.138024</v>
      </c>
      <c r="L8" s="530">
        <f t="shared" si="3"/>
        <v>5.7197328885526715E-3</v>
      </c>
      <c r="M8" s="531">
        <f t="shared" si="9"/>
        <v>1.0073559415659928E-4</v>
      </c>
      <c r="N8" s="532">
        <f t="shared" si="10"/>
        <v>233.138024</v>
      </c>
      <c r="O8" s="533">
        <f t="shared" si="4"/>
        <v>6.9639085564927984E-3</v>
      </c>
      <c r="P8" s="533">
        <f t="shared" si="11"/>
        <v>6.9987280992752623E-4</v>
      </c>
      <c r="Q8" s="532">
        <f t="shared" si="12"/>
        <v>233.138024</v>
      </c>
      <c r="R8" s="534">
        <f t="shared" si="5"/>
        <v>7.0204663039218811E-3</v>
      </c>
      <c r="S8" s="533">
        <f t="shared" si="13"/>
        <v>4.2122797823531283E-4</v>
      </c>
      <c r="T8" s="532">
        <f t="shared" si="14"/>
        <v>233.138024</v>
      </c>
      <c r="U8" s="534">
        <f t="shared" si="6"/>
        <v>6.5026174540768903E-3</v>
      </c>
      <c r="V8" s="533">
        <f t="shared" si="15"/>
        <v>6.6846907427910423E-4</v>
      </c>
      <c r="W8" s="533"/>
      <c r="X8" s="535">
        <v>0.10050000000000001</v>
      </c>
      <c r="Y8" s="535">
        <v>0.06</v>
      </c>
      <c r="Z8" s="535">
        <v>0.10279999999999999</v>
      </c>
    </row>
    <row r="9" spans="1:27" ht="14.5">
      <c r="A9" s="509">
        <v>5</v>
      </c>
      <c r="B9" s="524" t="s">
        <v>540</v>
      </c>
      <c r="C9" s="525" t="s">
        <v>541</v>
      </c>
      <c r="D9" s="526">
        <v>308.88</v>
      </c>
      <c r="E9" s="527">
        <v>5.92</v>
      </c>
      <c r="F9" s="101">
        <f t="shared" si="7"/>
        <v>1.9166019166019167E-2</v>
      </c>
      <c r="G9" s="102">
        <f t="shared" si="0"/>
        <v>7.7469999999999997E-2</v>
      </c>
      <c r="H9" s="102">
        <f t="shared" si="1"/>
        <v>7.0000000000000007E-2</v>
      </c>
      <c r="I9" s="102">
        <f t="shared" si="2"/>
        <v>7.7899999999999997E-2</v>
      </c>
      <c r="J9" s="528">
        <v>626.02599999999995</v>
      </c>
      <c r="K9" s="529">
        <f t="shared" si="8"/>
        <v>193.36691087999998</v>
      </c>
      <c r="L9" s="530">
        <f t="shared" si="3"/>
        <v>4.7440012604643561E-3</v>
      </c>
      <c r="M9" s="531">
        <f t="shared" si="9"/>
        <v>9.092361908167893E-5</v>
      </c>
      <c r="N9" s="532">
        <f t="shared" si="10"/>
        <v>193.36691087999998</v>
      </c>
      <c r="O9" s="533">
        <f t="shared" si="4"/>
        <v>5.7759324803225249E-3</v>
      </c>
      <c r="P9" s="533">
        <f t="shared" si="11"/>
        <v>4.4746148925058597E-4</v>
      </c>
      <c r="Q9" s="532">
        <f t="shared" si="12"/>
        <v>193.36691087999998</v>
      </c>
      <c r="R9" s="534">
        <f t="shared" si="5"/>
        <v>5.8228420179391466E-3</v>
      </c>
      <c r="S9" s="533">
        <f t="shared" si="13"/>
        <v>4.075989412557403E-4</v>
      </c>
      <c r="T9" s="532">
        <f t="shared" si="14"/>
        <v>193.36691087999998</v>
      </c>
      <c r="U9" s="534">
        <f t="shared" si="6"/>
        <v>5.3933332201924226E-3</v>
      </c>
      <c r="V9" s="533">
        <f t="shared" si="15"/>
        <v>4.2014065785298969E-4</v>
      </c>
      <c r="W9" s="533"/>
      <c r="X9" s="535">
        <v>7.7469999999999997E-2</v>
      </c>
      <c r="Y9" s="535">
        <v>7.0000000000000007E-2</v>
      </c>
      <c r="Z9" s="535">
        <v>7.7899999999999997E-2</v>
      </c>
    </row>
    <row r="10" spans="1:27" ht="14.5">
      <c r="A10" s="509">
        <v>6</v>
      </c>
      <c r="B10" s="524" t="s">
        <v>542</v>
      </c>
      <c r="C10" s="525" t="s">
        <v>543</v>
      </c>
      <c r="D10" s="526">
        <v>202.78</v>
      </c>
      <c r="E10" s="527">
        <v>3.96</v>
      </c>
      <c r="F10" s="101">
        <f t="shared" si="7"/>
        <v>1.952855311174672E-2</v>
      </c>
      <c r="G10" s="102">
        <f t="shared" si="0"/>
        <v>0.11800000000000001</v>
      </c>
      <c r="H10" s="102">
        <f t="shared" si="1"/>
        <v>0.09</v>
      </c>
      <c r="I10" s="102">
        <f t="shared" si="2"/>
        <v>0.12029999999999999</v>
      </c>
      <c r="J10" s="528">
        <v>495.976</v>
      </c>
      <c r="K10" s="529">
        <f t="shared" si="8"/>
        <v>100.57401328</v>
      </c>
      <c r="L10" s="530">
        <f t="shared" si="3"/>
        <v>2.4674503181486567E-3</v>
      </c>
      <c r="M10" s="531">
        <f t="shared" si="9"/>
        <v>4.8185734588562383E-5</v>
      </c>
      <c r="N10" s="532">
        <f t="shared" si="10"/>
        <v>100.57401328</v>
      </c>
      <c r="O10" s="533">
        <f t="shared" si="4"/>
        <v>3.0041784674361503E-3</v>
      </c>
      <c r="P10" s="533">
        <f t="shared" si="11"/>
        <v>3.5449305915746576E-4</v>
      </c>
      <c r="Q10" s="532">
        <f t="shared" si="12"/>
        <v>100.57401328</v>
      </c>
      <c r="R10" s="534">
        <f t="shared" si="5"/>
        <v>3.0285770599240893E-3</v>
      </c>
      <c r="S10" s="533">
        <f t="shared" si="13"/>
        <v>2.7257193539316802E-4</v>
      </c>
      <c r="T10" s="532">
        <f t="shared" si="14"/>
        <v>100.57401328</v>
      </c>
      <c r="U10" s="534">
        <f t="shared" si="6"/>
        <v>2.8051809094045035E-3</v>
      </c>
      <c r="V10" s="533">
        <f t="shared" si="15"/>
        <v>3.3746326340136173E-4</v>
      </c>
      <c r="W10" s="533"/>
      <c r="X10" s="535">
        <v>0.11800000000000001</v>
      </c>
      <c r="Y10" s="535">
        <v>0.09</v>
      </c>
      <c r="Z10" s="535">
        <v>0.12029999999999999</v>
      </c>
    </row>
    <row r="11" spans="1:27" ht="14.5">
      <c r="A11" s="509">
        <v>7</v>
      </c>
      <c r="B11" s="524" t="s">
        <v>544</v>
      </c>
      <c r="C11" s="525" t="s">
        <v>545</v>
      </c>
      <c r="D11" s="526">
        <v>47.7</v>
      </c>
      <c r="E11" s="527">
        <v>2.04</v>
      </c>
      <c r="F11" s="101">
        <f t="shared" si="7"/>
        <v>4.2767295597484274E-2</v>
      </c>
      <c r="G11" s="102" t="str">
        <f t="shared" si="0"/>
        <v>NMF</v>
      </c>
      <c r="H11" s="102">
        <f t="shared" si="1"/>
        <v>2.5000000000000001E-2</v>
      </c>
      <c r="I11" s="102">
        <f t="shared" si="2"/>
        <v>5.9699999999999996E-2</v>
      </c>
      <c r="J11" s="528">
        <v>480.45</v>
      </c>
      <c r="K11" s="529">
        <f t="shared" si="8"/>
        <v>22.917465</v>
      </c>
      <c r="L11" s="530">
        <f t="shared" si="3"/>
        <v>5.62249675251407E-4</v>
      </c>
      <c r="M11" s="531">
        <f t="shared" si="9"/>
        <v>2.4045898061066462E-5</v>
      </c>
      <c r="N11" s="532" t="str">
        <f t="shared" si="10"/>
        <v>--</v>
      </c>
      <c r="O11" s="533" t="str">
        <f t="shared" si="4"/>
        <v>--</v>
      </c>
      <c r="P11" s="533" t="str">
        <f t="shared" si="11"/>
        <v>--</v>
      </c>
      <c r="Q11" s="532">
        <f t="shared" si="12"/>
        <v>22.917465</v>
      </c>
      <c r="R11" s="534">
        <f t="shared" si="5"/>
        <v>6.9011175458795634E-4</v>
      </c>
      <c r="S11" s="533">
        <f t="shared" si="13"/>
        <v>1.725279386469891E-5</v>
      </c>
      <c r="T11" s="532">
        <f t="shared" si="14"/>
        <v>22.917465</v>
      </c>
      <c r="U11" s="534">
        <f t="shared" si="6"/>
        <v>6.3920721877696034E-4</v>
      </c>
      <c r="V11" s="533">
        <f t="shared" si="15"/>
        <v>3.8160670960984527E-5</v>
      </c>
      <c r="W11" s="533"/>
      <c r="X11" s="535">
        <v>-2.7999999999999997E-2</v>
      </c>
      <c r="Y11" s="535">
        <v>2.5000000000000001E-2</v>
      </c>
      <c r="Z11" s="535">
        <v>5.9699999999999996E-2</v>
      </c>
    </row>
    <row r="12" spans="1:27" ht="14.5">
      <c r="A12" s="509">
        <v>8</v>
      </c>
      <c r="B12" s="524" t="s">
        <v>546</v>
      </c>
      <c r="C12" s="525" t="s">
        <v>547</v>
      </c>
      <c r="D12" s="526">
        <v>307.08999999999997</v>
      </c>
      <c r="E12" s="527">
        <v>6.16</v>
      </c>
      <c r="F12" s="101">
        <f t="shared" si="7"/>
        <v>2.0059266013220882E-2</v>
      </c>
      <c r="G12" s="102">
        <f t="shared" si="0"/>
        <v>9.2630000000000004E-2</v>
      </c>
      <c r="H12" s="102">
        <f t="shared" si="1"/>
        <v>7.0000000000000007E-2</v>
      </c>
      <c r="I12" s="102">
        <f t="shared" si="2"/>
        <v>9.6600000000000005E-2</v>
      </c>
      <c r="J12" s="528">
        <v>405.923</v>
      </c>
      <c r="K12" s="529">
        <f t="shared" si="8"/>
        <v>124.65489407</v>
      </c>
      <c r="L12" s="530">
        <f t="shared" si="3"/>
        <v>3.0582428601660804E-3</v>
      </c>
      <c r="M12" s="531">
        <f t="shared" si="9"/>
        <v>6.1346107065104875E-5</v>
      </c>
      <c r="N12" s="532">
        <f t="shared" si="10"/>
        <v>124.65489407</v>
      </c>
      <c r="O12" s="533">
        <f t="shared" si="4"/>
        <v>3.7234822039273027E-3</v>
      </c>
      <c r="P12" s="533">
        <f t="shared" si="11"/>
        <v>3.4490615654978607E-4</v>
      </c>
      <c r="Q12" s="532">
        <f t="shared" si="12"/>
        <v>124.65489407</v>
      </c>
      <c r="R12" s="534">
        <f t="shared" si="5"/>
        <v>3.7537226593178405E-3</v>
      </c>
      <c r="S12" s="533">
        <f t="shared" si="13"/>
        <v>2.6276058615224887E-4</v>
      </c>
      <c r="T12" s="532">
        <f t="shared" si="14"/>
        <v>124.65489407</v>
      </c>
      <c r="U12" s="534">
        <f t="shared" si="6"/>
        <v>3.4768377805058852E-3</v>
      </c>
      <c r="V12" s="533">
        <f t="shared" si="15"/>
        <v>3.3586252959686851E-4</v>
      </c>
      <c r="W12" s="533"/>
      <c r="X12" s="535">
        <v>9.2630000000000004E-2</v>
      </c>
      <c r="Y12" s="535">
        <v>7.0000000000000007E-2</v>
      </c>
      <c r="Z12" s="535">
        <v>9.6600000000000005E-2</v>
      </c>
    </row>
    <row r="13" spans="1:27" ht="14.5">
      <c r="A13" s="509">
        <v>9</v>
      </c>
      <c r="B13" s="524" t="s">
        <v>548</v>
      </c>
      <c r="C13" s="525" t="s">
        <v>549</v>
      </c>
      <c r="D13" s="526">
        <v>97.68</v>
      </c>
      <c r="E13" s="527">
        <v>2.85</v>
      </c>
      <c r="F13" s="101">
        <f t="shared" si="7"/>
        <v>2.9176904176904175E-2</v>
      </c>
      <c r="G13" s="102">
        <f t="shared" si="0"/>
        <v>6.8000000000000005E-2</v>
      </c>
      <c r="H13" s="102">
        <f t="shared" si="1"/>
        <v>6.5000000000000002E-2</v>
      </c>
      <c r="I13" s="102">
        <f t="shared" si="2"/>
        <v>6.9500000000000006E-2</v>
      </c>
      <c r="J13" s="528">
        <v>270.279</v>
      </c>
      <c r="K13" s="529">
        <f t="shared" si="8"/>
        <v>26.400852720000003</v>
      </c>
      <c r="L13" s="530">
        <f t="shared" si="3"/>
        <v>6.4770998311463452E-4</v>
      </c>
      <c r="M13" s="531">
        <f t="shared" si="9"/>
        <v>1.8898172111759914E-5</v>
      </c>
      <c r="N13" s="532">
        <f t="shared" si="10"/>
        <v>26.400852720000003</v>
      </c>
      <c r="O13" s="533">
        <f t="shared" si="4"/>
        <v>7.8860205212820281E-4</v>
      </c>
      <c r="P13" s="533">
        <f t="shared" si="11"/>
        <v>5.3624939544717797E-5</v>
      </c>
      <c r="Q13" s="532">
        <f t="shared" si="12"/>
        <v>26.400852720000003</v>
      </c>
      <c r="R13" s="534">
        <f t="shared" si="5"/>
        <v>7.9500672492430647E-4</v>
      </c>
      <c r="S13" s="533">
        <f t="shared" si="13"/>
        <v>5.1675437120079922E-5</v>
      </c>
      <c r="T13" s="532">
        <f t="shared" si="14"/>
        <v>26.400852720000003</v>
      </c>
      <c r="U13" s="534">
        <f t="shared" si="6"/>
        <v>7.3636484840235823E-4</v>
      </c>
      <c r="V13" s="533">
        <f t="shared" si="15"/>
        <v>5.1177356963963903E-5</v>
      </c>
      <c r="W13" s="533"/>
      <c r="X13" s="535">
        <v>6.8000000000000005E-2</v>
      </c>
      <c r="Y13" s="535">
        <v>6.5000000000000002E-2</v>
      </c>
      <c r="Z13" s="535">
        <v>6.9500000000000006E-2</v>
      </c>
    </row>
    <row r="14" spans="1:27" ht="14.5">
      <c r="A14" s="509">
        <v>10</v>
      </c>
      <c r="B14" s="524" t="s">
        <v>550</v>
      </c>
      <c r="C14" s="525" t="s">
        <v>551</v>
      </c>
      <c r="D14" s="526">
        <v>105.19</v>
      </c>
      <c r="E14" s="527">
        <v>3.8</v>
      </c>
      <c r="F14" s="101">
        <f t="shared" si="7"/>
        <v>3.6125106949329785E-2</v>
      </c>
      <c r="G14" s="102">
        <f t="shared" si="0"/>
        <v>6.3670000000000004E-2</v>
      </c>
      <c r="H14" s="102">
        <f t="shared" si="1"/>
        <v>0.06</v>
      </c>
      <c r="I14" s="102">
        <f t="shared" si="2"/>
        <v>6.4299999999999996E-2</v>
      </c>
      <c r="J14" s="528">
        <v>533.98800000000006</v>
      </c>
      <c r="K14" s="529">
        <f t="shared" si="8"/>
        <v>56.170197720000004</v>
      </c>
      <c r="L14" s="530">
        <f t="shared" si="3"/>
        <v>1.3780614665224679E-3</v>
      </c>
      <c r="M14" s="531">
        <f t="shared" si="9"/>
        <v>4.9782617860874401E-5</v>
      </c>
      <c r="N14" s="532">
        <f t="shared" si="10"/>
        <v>56.170197720000004</v>
      </c>
      <c r="O14" s="533">
        <f t="shared" si="4"/>
        <v>1.6778220635609417E-3</v>
      </c>
      <c r="P14" s="533">
        <f t="shared" si="11"/>
        <v>1.0682693078692517E-4</v>
      </c>
      <c r="Q14" s="532">
        <f t="shared" si="12"/>
        <v>56.170197720000004</v>
      </c>
      <c r="R14" s="534">
        <f t="shared" si="5"/>
        <v>1.6914485831701555E-3</v>
      </c>
      <c r="S14" s="533">
        <f t="shared" si="13"/>
        <v>1.0148691499020933E-4</v>
      </c>
      <c r="T14" s="532">
        <f t="shared" si="14"/>
        <v>56.170197720000004</v>
      </c>
      <c r="U14" s="534">
        <f t="shared" si="6"/>
        <v>1.5666826964829295E-3</v>
      </c>
      <c r="V14" s="533">
        <f t="shared" si="15"/>
        <v>1.0073769738385236E-4</v>
      </c>
      <c r="W14" s="533"/>
      <c r="X14" s="535">
        <v>6.3670000000000004E-2</v>
      </c>
      <c r="Y14" s="535">
        <v>0.06</v>
      </c>
      <c r="Z14" s="535">
        <v>6.4299999999999996E-2</v>
      </c>
    </row>
    <row r="15" spans="1:27" ht="14.5">
      <c r="A15" s="509">
        <v>11</v>
      </c>
      <c r="B15" s="524" t="s">
        <v>552</v>
      </c>
      <c r="C15" s="525" t="s">
        <v>553</v>
      </c>
      <c r="D15" s="526">
        <v>10.82</v>
      </c>
      <c r="E15" s="527">
        <v>0.7</v>
      </c>
      <c r="F15" s="101">
        <f t="shared" si="7"/>
        <v>6.4695009242144177E-2</v>
      </c>
      <c r="G15" s="102">
        <f t="shared" si="0"/>
        <v>5.9500000000000004E-2</v>
      </c>
      <c r="H15" s="102" t="str">
        <f t="shared" si="1"/>
        <v>NMF</v>
      </c>
      <c r="I15" s="102">
        <f t="shared" si="2"/>
        <v>3.4599999999999999E-2</v>
      </c>
      <c r="J15" s="528">
        <v>711.90800000000002</v>
      </c>
      <c r="K15" s="529">
        <f t="shared" si="8"/>
        <v>7.7028445600000008</v>
      </c>
      <c r="L15" s="530">
        <f t="shared" si="3"/>
        <v>1.8897909748622144E-4</v>
      </c>
      <c r="M15" s="531">
        <f t="shared" si="9"/>
        <v>1.2226004458443161E-5</v>
      </c>
      <c r="N15" s="532">
        <f t="shared" si="10"/>
        <v>7.7028445600000008</v>
      </c>
      <c r="O15" s="533">
        <f t="shared" si="4"/>
        <v>2.3008647075398568E-4</v>
      </c>
      <c r="P15" s="533">
        <f t="shared" si="11"/>
        <v>1.369014500986215E-5</v>
      </c>
      <c r="Q15" s="532" t="str">
        <f t="shared" si="12"/>
        <v>--</v>
      </c>
      <c r="R15" s="534" t="str">
        <f t="shared" si="5"/>
        <v>--</v>
      </c>
      <c r="S15" s="533" t="str">
        <f t="shared" si="13"/>
        <v>--</v>
      </c>
      <c r="T15" s="532">
        <f t="shared" si="14"/>
        <v>7.7028445600000008</v>
      </c>
      <c r="U15" s="534">
        <f t="shared" si="6"/>
        <v>2.1484548347161606E-4</v>
      </c>
      <c r="V15" s="533">
        <f t="shared" si="15"/>
        <v>7.4336537281179158E-6</v>
      </c>
      <c r="W15" s="533"/>
      <c r="X15" s="535">
        <v>5.9500000000000004E-2</v>
      </c>
      <c r="Y15" s="535" t="s">
        <v>36</v>
      </c>
      <c r="Z15" s="535">
        <v>3.4599999999999999E-2</v>
      </c>
    </row>
    <row r="16" spans="1:27" ht="14.5">
      <c r="A16" s="509">
        <v>12</v>
      </c>
      <c r="B16" s="524" t="s">
        <v>554</v>
      </c>
      <c r="C16" s="525" t="s">
        <v>555</v>
      </c>
      <c r="D16" s="526">
        <v>106.3</v>
      </c>
      <c r="E16" s="527">
        <v>2.39</v>
      </c>
      <c r="F16" s="101">
        <f t="shared" si="7"/>
        <v>2.2483537158984008E-2</v>
      </c>
      <c r="G16" s="102">
        <f t="shared" si="0"/>
        <v>4.5999999999999999E-2</v>
      </c>
      <c r="H16" s="102">
        <f t="shared" si="1"/>
        <v>0.09</v>
      </c>
      <c r="I16" s="102">
        <f t="shared" si="2"/>
        <v>4.8000000000000001E-2</v>
      </c>
      <c r="J16" s="528">
        <v>542.49300000000005</v>
      </c>
      <c r="K16" s="529">
        <f t="shared" si="8"/>
        <v>57.667005900000007</v>
      </c>
      <c r="L16" s="530">
        <f t="shared" si="3"/>
        <v>1.4147836743721863E-3</v>
      </c>
      <c r="M16" s="531">
        <f t="shared" si="9"/>
        <v>3.1809341314670984E-5</v>
      </c>
      <c r="N16" s="532">
        <f t="shared" si="10"/>
        <v>57.667005900000007</v>
      </c>
      <c r="O16" s="533">
        <f t="shared" si="4"/>
        <v>1.7225322104228299E-3</v>
      </c>
      <c r="P16" s="533">
        <f t="shared" si="11"/>
        <v>7.9236481679450176E-5</v>
      </c>
      <c r="Q16" s="532">
        <f t="shared" si="12"/>
        <v>57.667005900000007</v>
      </c>
      <c r="R16" s="534">
        <f t="shared" si="5"/>
        <v>1.7365218458273214E-3</v>
      </c>
      <c r="S16" s="533">
        <f t="shared" si="13"/>
        <v>1.5628696612445892E-4</v>
      </c>
      <c r="T16" s="532">
        <f t="shared" si="14"/>
        <v>57.667005900000007</v>
      </c>
      <c r="U16" s="534">
        <f t="shared" si="6"/>
        <v>1.6084312316625581E-3</v>
      </c>
      <c r="V16" s="533">
        <f t="shared" si="15"/>
        <v>7.7204699119802795E-5</v>
      </c>
      <c r="W16" s="533"/>
      <c r="X16" s="535">
        <v>4.5999999999999999E-2</v>
      </c>
      <c r="Y16" s="535">
        <v>0.09</v>
      </c>
      <c r="Z16" s="535">
        <v>4.8000000000000001E-2</v>
      </c>
    </row>
    <row r="17" spans="1:26" ht="14.5">
      <c r="A17" s="509">
        <v>13</v>
      </c>
      <c r="B17" s="524" t="s">
        <v>556</v>
      </c>
      <c r="C17" s="525" t="s">
        <v>557</v>
      </c>
      <c r="D17" s="526">
        <v>81.819999999999993</v>
      </c>
      <c r="E17" s="527">
        <v>1.76</v>
      </c>
      <c r="F17" s="101">
        <f t="shared" si="7"/>
        <v>2.1510633097042289E-2</v>
      </c>
      <c r="G17" s="102" t="str">
        <f t="shared" si="0"/>
        <v>NMF</v>
      </c>
      <c r="H17" s="102">
        <f t="shared" si="1"/>
        <v>8.5000000000000006E-2</v>
      </c>
      <c r="I17" s="102">
        <f t="shared" si="2"/>
        <v>0.15689999999999998</v>
      </c>
      <c r="J17" s="528">
        <v>576.33000000000004</v>
      </c>
      <c r="K17" s="529">
        <f t="shared" si="8"/>
        <v>47.155320599999996</v>
      </c>
      <c r="L17" s="530">
        <f t="shared" si="3"/>
        <v>1.1568933864947971E-3</v>
      </c>
      <c r="M17" s="531">
        <f t="shared" si="9"/>
        <v>2.4885509169284317E-5</v>
      </c>
      <c r="N17" s="532" t="str">
        <f t="shared" si="10"/>
        <v>--</v>
      </c>
      <c r="O17" s="533" t="str">
        <f t="shared" si="4"/>
        <v>--</v>
      </c>
      <c r="P17" s="533" t="str">
        <f t="shared" si="11"/>
        <v>--</v>
      </c>
      <c r="Q17" s="532">
        <f t="shared" si="12"/>
        <v>47.155320599999996</v>
      </c>
      <c r="R17" s="534">
        <f t="shared" si="5"/>
        <v>1.4199843236336828E-3</v>
      </c>
      <c r="S17" s="533">
        <f t="shared" si="13"/>
        <v>1.2069866750886305E-4</v>
      </c>
      <c r="T17" s="532">
        <f t="shared" si="14"/>
        <v>47.155320599999996</v>
      </c>
      <c r="U17" s="534">
        <f t="shared" si="6"/>
        <v>1.3152423852839702E-3</v>
      </c>
      <c r="V17" s="533">
        <f t="shared" si="15"/>
        <v>2.0636153025105491E-4</v>
      </c>
      <c r="W17" s="533"/>
      <c r="X17" s="535">
        <v>0.253</v>
      </c>
      <c r="Y17" s="535">
        <v>8.5000000000000006E-2</v>
      </c>
      <c r="Z17" s="535">
        <v>0.15689999999999998</v>
      </c>
    </row>
    <row r="18" spans="1:26" ht="14.5">
      <c r="A18" s="509">
        <v>14</v>
      </c>
      <c r="B18" s="524" t="s">
        <v>558</v>
      </c>
      <c r="C18" s="525" t="s">
        <v>559</v>
      </c>
      <c r="D18" s="526">
        <v>194.87</v>
      </c>
      <c r="E18" s="527">
        <v>3.2</v>
      </c>
      <c r="F18" s="101">
        <f t="shared" si="7"/>
        <v>1.6421203879509415E-2</v>
      </c>
      <c r="G18" s="102" t="str">
        <f t="shared" si="0"/>
        <v>NMF</v>
      </c>
      <c r="H18" s="102">
        <f t="shared" si="1"/>
        <v>0.105</v>
      </c>
      <c r="I18" s="102" t="str">
        <f t="shared" si="2"/>
        <v>NMF</v>
      </c>
      <c r="J18" s="528">
        <v>50.868000000000002</v>
      </c>
      <c r="K18" s="529">
        <f t="shared" si="8"/>
        <v>9.9126471600000006</v>
      </c>
      <c r="L18" s="530">
        <f t="shared" si="3"/>
        <v>2.4319367986781184E-4</v>
      </c>
      <c r="M18" s="531">
        <f t="shared" si="9"/>
        <v>3.9935329993174823E-6</v>
      </c>
      <c r="N18" s="532" t="str">
        <f t="shared" si="10"/>
        <v>--</v>
      </c>
      <c r="O18" s="533" t="str">
        <f t="shared" si="4"/>
        <v>--</v>
      </c>
      <c r="P18" s="533" t="str">
        <f t="shared" si="11"/>
        <v>--</v>
      </c>
      <c r="Q18" s="532">
        <f t="shared" si="12"/>
        <v>9.9126471600000006</v>
      </c>
      <c r="R18" s="534">
        <f t="shared" si="5"/>
        <v>2.9849873553636593E-4</v>
      </c>
      <c r="S18" s="533">
        <f t="shared" si="13"/>
        <v>3.1342367231318419E-5</v>
      </c>
      <c r="T18" s="532" t="str">
        <f t="shared" si="14"/>
        <v>--</v>
      </c>
      <c r="U18" s="534" t="str">
        <f t="shared" si="6"/>
        <v>--</v>
      </c>
      <c r="V18" s="533" t="str">
        <f t="shared" si="15"/>
        <v>--</v>
      </c>
      <c r="W18" s="533"/>
      <c r="X18" s="535" t="s">
        <v>36</v>
      </c>
      <c r="Y18" s="535">
        <v>0.105</v>
      </c>
      <c r="Z18" s="535" t="s">
        <v>36</v>
      </c>
    </row>
    <row r="19" spans="1:26" ht="14.5">
      <c r="A19" s="509">
        <v>15</v>
      </c>
      <c r="B19" s="524" t="s">
        <v>560</v>
      </c>
      <c r="C19" s="525" t="s">
        <v>383</v>
      </c>
      <c r="D19" s="526">
        <v>338.47</v>
      </c>
      <c r="E19" s="527">
        <v>2.6</v>
      </c>
      <c r="F19" s="101">
        <f t="shared" si="7"/>
        <v>7.6816261411646524E-3</v>
      </c>
      <c r="G19" s="102">
        <f t="shared" si="0"/>
        <v>0.14599999999999999</v>
      </c>
      <c r="H19" s="102">
        <f t="shared" si="1"/>
        <v>0.14499999999999999</v>
      </c>
      <c r="I19" s="102" t="str">
        <f t="shared" si="2"/>
        <v>NMF</v>
      </c>
      <c r="J19" s="528">
        <v>256.10000000000002</v>
      </c>
      <c r="K19" s="529">
        <f t="shared" si="8"/>
        <v>86.682167000000021</v>
      </c>
      <c r="L19" s="530">
        <f t="shared" si="3"/>
        <v>2.1266322538656978E-3</v>
      </c>
      <c r="M19" s="531">
        <f t="shared" si="9"/>
        <v>1.6335993913938648E-5</v>
      </c>
      <c r="N19" s="532">
        <f t="shared" si="10"/>
        <v>86.682167000000021</v>
      </c>
      <c r="O19" s="533">
        <f t="shared" si="4"/>
        <v>2.5892245036212447E-3</v>
      </c>
      <c r="P19" s="533">
        <f t="shared" si="11"/>
        <v>3.7802677752870169E-4</v>
      </c>
      <c r="Q19" s="532">
        <f t="shared" si="12"/>
        <v>86.682167000000021</v>
      </c>
      <c r="R19" s="534">
        <f t="shared" si="5"/>
        <v>2.610253025797411E-3</v>
      </c>
      <c r="S19" s="533">
        <f t="shared" si="13"/>
        <v>3.7848668874062457E-4</v>
      </c>
      <c r="T19" s="532" t="str">
        <f t="shared" si="14"/>
        <v>--</v>
      </c>
      <c r="U19" s="534" t="str">
        <f t="shared" si="6"/>
        <v>--</v>
      </c>
      <c r="V19" s="533" t="str">
        <f t="shared" si="15"/>
        <v>--</v>
      </c>
      <c r="W19" s="533"/>
      <c r="X19" s="535">
        <v>0.14599999999999999</v>
      </c>
      <c r="Y19" s="535">
        <v>0.14499999999999999</v>
      </c>
      <c r="Z19" s="535" t="s">
        <v>36</v>
      </c>
    </row>
    <row r="20" spans="1:26" ht="14.5">
      <c r="A20" s="509">
        <v>16</v>
      </c>
      <c r="B20" s="524" t="s">
        <v>561</v>
      </c>
      <c r="C20" s="525" t="s">
        <v>562</v>
      </c>
      <c r="D20" s="526">
        <v>57.44</v>
      </c>
      <c r="E20" s="527">
        <v>1.62</v>
      </c>
      <c r="F20" s="101">
        <f t="shared" si="7"/>
        <v>2.8203342618384405E-2</v>
      </c>
      <c r="G20" s="102" t="str">
        <f t="shared" si="0"/>
        <v>NMF</v>
      </c>
      <c r="H20" s="102">
        <f t="shared" si="1"/>
        <v>4.4999999999999998E-2</v>
      </c>
      <c r="I20" s="102">
        <f t="shared" si="2"/>
        <v>0.16</v>
      </c>
      <c r="J20" s="528">
        <v>117.661</v>
      </c>
      <c r="K20" s="529">
        <f t="shared" si="8"/>
        <v>6.7584478399999997</v>
      </c>
      <c r="L20" s="530">
        <f t="shared" si="3"/>
        <v>1.6580957375711376E-4</v>
      </c>
      <c r="M20" s="531">
        <f t="shared" si="9"/>
        <v>4.6763842180801589E-6</v>
      </c>
      <c r="N20" s="532" t="str">
        <f t="shared" si="10"/>
        <v>--</v>
      </c>
      <c r="O20" s="533" t="str">
        <f t="shared" si="4"/>
        <v>--</v>
      </c>
      <c r="P20" s="533" t="str">
        <f t="shared" si="11"/>
        <v>--</v>
      </c>
      <c r="Q20" s="532">
        <f t="shared" si="12"/>
        <v>6.7584478399999997</v>
      </c>
      <c r="R20" s="534">
        <f t="shared" si="5"/>
        <v>2.0351658864335926E-4</v>
      </c>
      <c r="S20" s="533">
        <f t="shared" si="13"/>
        <v>9.1582464889511654E-6</v>
      </c>
      <c r="T20" s="532">
        <f t="shared" si="14"/>
        <v>6.7584478399999997</v>
      </c>
      <c r="U20" s="534">
        <f t="shared" si="6"/>
        <v>1.8850464687327132E-4</v>
      </c>
      <c r="V20" s="533">
        <f t="shared" si="15"/>
        <v>3.0160743499723413E-5</v>
      </c>
      <c r="W20" s="533"/>
      <c r="X20" s="535">
        <v>-0.34799999999999998</v>
      </c>
      <c r="Y20" s="535">
        <v>4.4999999999999998E-2</v>
      </c>
      <c r="Z20" s="535">
        <v>0.16</v>
      </c>
    </row>
    <row r="21" spans="1:26" ht="14.5">
      <c r="A21" s="509">
        <v>17</v>
      </c>
      <c r="B21" s="524" t="s">
        <v>563</v>
      </c>
      <c r="C21" s="525" t="s">
        <v>564</v>
      </c>
      <c r="D21" s="526">
        <v>202.62</v>
      </c>
      <c r="E21" s="527">
        <v>4</v>
      </c>
      <c r="F21" s="101">
        <f t="shared" si="7"/>
        <v>1.9741387819563715E-2</v>
      </c>
      <c r="G21" s="102">
        <f t="shared" si="0"/>
        <v>3.7999999999999999E-2</v>
      </c>
      <c r="H21" s="102" t="str">
        <f t="shared" si="1"/>
        <v>NMF</v>
      </c>
      <c r="I21" s="102">
        <f t="shared" si="2"/>
        <v>0.10460000000000001</v>
      </c>
      <c r="J21" s="528">
        <v>264.81799999999998</v>
      </c>
      <c r="K21" s="529">
        <f t="shared" si="8"/>
        <v>53.65742316</v>
      </c>
      <c r="L21" s="530">
        <f t="shared" si="3"/>
        <v>1.3164138680494255E-3</v>
      </c>
      <c r="M21" s="531">
        <f t="shared" si="9"/>
        <v>2.5987836700215684E-5</v>
      </c>
      <c r="N21" s="532">
        <f t="shared" si="10"/>
        <v>53.65742316</v>
      </c>
      <c r="O21" s="533">
        <f t="shared" si="4"/>
        <v>1.6027646706968696E-3</v>
      </c>
      <c r="P21" s="533">
        <f t="shared" si="11"/>
        <v>6.0905057486481044E-5</v>
      </c>
      <c r="Q21" s="532" t="str">
        <f t="shared" si="12"/>
        <v>--</v>
      </c>
      <c r="R21" s="534" t="str">
        <f t="shared" si="5"/>
        <v>--</v>
      </c>
      <c r="S21" s="533" t="str">
        <f t="shared" si="13"/>
        <v>--</v>
      </c>
      <c r="T21" s="532">
        <f t="shared" si="14"/>
        <v>53.65742316</v>
      </c>
      <c r="U21" s="534">
        <f t="shared" si="6"/>
        <v>1.496597124718727E-3</v>
      </c>
      <c r="V21" s="533">
        <f t="shared" si="15"/>
        <v>1.5654405924557887E-4</v>
      </c>
      <c r="W21" s="533"/>
      <c r="X21" s="535">
        <v>3.7999999999999999E-2</v>
      </c>
      <c r="Y21" s="535">
        <v>0.28999999999999998</v>
      </c>
      <c r="Z21" s="535">
        <v>0.10460000000000001</v>
      </c>
    </row>
    <row r="22" spans="1:26" ht="14.5">
      <c r="A22" s="509">
        <v>18</v>
      </c>
      <c r="B22" s="524" t="s">
        <v>565</v>
      </c>
      <c r="C22" s="525" t="s">
        <v>566</v>
      </c>
      <c r="D22" s="526">
        <v>140.91</v>
      </c>
      <c r="E22" s="527">
        <v>2.04</v>
      </c>
      <c r="F22" s="101">
        <f t="shared" si="7"/>
        <v>1.4477325952735789E-2</v>
      </c>
      <c r="G22" s="102">
        <f t="shared" si="0"/>
        <v>6.3E-2</v>
      </c>
      <c r="H22" s="102">
        <f t="shared" si="1"/>
        <v>7.4999999999999997E-2</v>
      </c>
      <c r="I22" s="102">
        <f t="shared" si="2"/>
        <v>4.5700000000000005E-2</v>
      </c>
      <c r="J22" s="528">
        <v>86.049000000000007</v>
      </c>
      <c r="K22" s="529">
        <f t="shared" si="8"/>
        <v>12.125164590000001</v>
      </c>
      <c r="L22" s="530">
        <f t="shared" si="3"/>
        <v>2.974748670106995E-4</v>
      </c>
      <c r="M22" s="531">
        <f t="shared" si="9"/>
        <v>4.3066406124606274E-6</v>
      </c>
      <c r="N22" s="532">
        <f t="shared" si="10"/>
        <v>12.125164590000001</v>
      </c>
      <c r="O22" s="533">
        <f t="shared" si="4"/>
        <v>3.6218260748913485E-4</v>
      </c>
      <c r="P22" s="533">
        <f t="shared" si="11"/>
        <v>2.2817504271815496E-5</v>
      </c>
      <c r="Q22" s="532">
        <f t="shared" si="12"/>
        <v>12.125164590000001</v>
      </c>
      <c r="R22" s="534">
        <f t="shared" si="5"/>
        <v>3.651240924715128E-4</v>
      </c>
      <c r="S22" s="533">
        <f t="shared" si="13"/>
        <v>2.7384306935363458E-5</v>
      </c>
      <c r="T22" s="532">
        <f t="shared" si="14"/>
        <v>12.125164590000001</v>
      </c>
      <c r="U22" s="534">
        <f t="shared" si="6"/>
        <v>3.38191537972755E-4</v>
      </c>
      <c r="V22" s="533">
        <f t="shared" si="15"/>
        <v>1.5455353285354906E-5</v>
      </c>
      <c r="W22" s="533"/>
      <c r="X22" s="535">
        <v>6.3E-2</v>
      </c>
      <c r="Y22" s="535">
        <v>7.4999999999999997E-2</v>
      </c>
      <c r="Z22" s="535">
        <v>4.5700000000000005E-2</v>
      </c>
    </row>
    <row r="23" spans="1:26" ht="14.5">
      <c r="A23" s="509">
        <v>19</v>
      </c>
      <c r="B23" s="524" t="s">
        <v>567</v>
      </c>
      <c r="C23" s="525" t="s">
        <v>568</v>
      </c>
      <c r="D23" s="526">
        <v>156</v>
      </c>
      <c r="E23" s="527">
        <v>1.84</v>
      </c>
      <c r="F23" s="101">
        <f t="shared" si="7"/>
        <v>1.1794871794871795E-2</v>
      </c>
      <c r="G23" s="102">
        <f t="shared" si="0"/>
        <v>0.159</v>
      </c>
      <c r="H23" s="102">
        <f t="shared" si="1"/>
        <v>0.09</v>
      </c>
      <c r="I23" s="102">
        <f t="shared" si="2"/>
        <v>0.10150000000000001</v>
      </c>
      <c r="J23" s="528">
        <v>812.44100000000003</v>
      </c>
      <c r="K23" s="529">
        <f t="shared" si="8"/>
        <v>126.740796</v>
      </c>
      <c r="L23" s="530">
        <f t="shared" si="3"/>
        <v>3.1094177035769369E-3</v>
      </c>
      <c r="M23" s="531">
        <f t="shared" si="9"/>
        <v>3.6675183170394641E-5</v>
      </c>
      <c r="N23" s="532">
        <f t="shared" si="10"/>
        <v>126.740796</v>
      </c>
      <c r="O23" s="533">
        <f t="shared" si="4"/>
        <v>3.7857887725818089E-3</v>
      </c>
      <c r="P23" s="533">
        <f t="shared" si="11"/>
        <v>6.0194041484050757E-4</v>
      </c>
      <c r="Q23" s="532">
        <f t="shared" si="12"/>
        <v>126.740796</v>
      </c>
      <c r="R23" s="534">
        <f t="shared" si="5"/>
        <v>3.8165352540271901E-3</v>
      </c>
      <c r="S23" s="533">
        <f t="shared" si="13"/>
        <v>3.434881728624471E-4</v>
      </c>
      <c r="T23" s="532">
        <f t="shared" si="14"/>
        <v>126.740796</v>
      </c>
      <c r="U23" s="534">
        <f t="shared" si="6"/>
        <v>3.535017145951269E-3</v>
      </c>
      <c r="V23" s="533">
        <f t="shared" si="15"/>
        <v>3.5880424031405382E-4</v>
      </c>
      <c r="W23" s="533"/>
      <c r="X23" s="535">
        <v>0.159</v>
      </c>
      <c r="Y23" s="535">
        <v>0.09</v>
      </c>
      <c r="Z23" s="535">
        <v>0.10150000000000001</v>
      </c>
    </row>
    <row r="24" spans="1:26" ht="14.5">
      <c r="A24" s="509">
        <v>20</v>
      </c>
      <c r="B24" s="524" t="s">
        <v>569</v>
      </c>
      <c r="C24" s="525" t="s">
        <v>570</v>
      </c>
      <c r="D24" s="526">
        <v>9.17</v>
      </c>
      <c r="E24" s="527">
        <v>0.51</v>
      </c>
      <c r="F24" s="101">
        <f t="shared" si="7"/>
        <v>5.5616139585605233E-2</v>
      </c>
      <c r="G24" s="102">
        <f t="shared" si="0"/>
        <v>0.05</v>
      </c>
      <c r="H24" s="102">
        <f t="shared" si="1"/>
        <v>8.5000000000000006E-2</v>
      </c>
      <c r="I24" s="102">
        <f t="shared" si="2"/>
        <v>4.99E-2</v>
      </c>
      <c r="J24" s="528">
        <v>2305.3429999999998</v>
      </c>
      <c r="K24" s="529">
        <f t="shared" si="8"/>
        <v>21.13999531</v>
      </c>
      <c r="L24" s="530">
        <f t="shared" si="3"/>
        <v>5.1864180867577491E-4</v>
      </c>
      <c r="M24" s="531">
        <f t="shared" si="9"/>
        <v>2.8844855226242662E-5</v>
      </c>
      <c r="N24" s="532">
        <f t="shared" si="10"/>
        <v>21.13999531</v>
      </c>
      <c r="O24" s="533">
        <f t="shared" si="4"/>
        <v>6.314585312927188E-4</v>
      </c>
      <c r="P24" s="533">
        <f t="shared" si="11"/>
        <v>3.1572926564635939E-5</v>
      </c>
      <c r="Q24" s="532">
        <f t="shared" si="12"/>
        <v>21.13999531</v>
      </c>
      <c r="R24" s="534">
        <f t="shared" si="5"/>
        <v>6.3658695476856918E-4</v>
      </c>
      <c r="S24" s="533">
        <f t="shared" si="13"/>
        <v>5.4109891155328384E-5</v>
      </c>
      <c r="T24" s="532">
        <f t="shared" si="14"/>
        <v>21.13999531</v>
      </c>
      <c r="U24" s="534">
        <f t="shared" si="6"/>
        <v>5.8963055499650964E-4</v>
      </c>
      <c r="V24" s="533">
        <f t="shared" si="15"/>
        <v>2.9422564694325829E-5</v>
      </c>
      <c r="W24" s="533"/>
      <c r="X24" s="535">
        <v>0.05</v>
      </c>
      <c r="Y24" s="535">
        <v>8.5000000000000006E-2</v>
      </c>
      <c r="Z24" s="535">
        <v>4.99E-2</v>
      </c>
    </row>
    <row r="25" spans="1:26" ht="14.5">
      <c r="A25" s="509">
        <v>21</v>
      </c>
      <c r="B25" s="524" t="s">
        <v>571</v>
      </c>
      <c r="C25" s="525" t="s">
        <v>572</v>
      </c>
      <c r="D25" s="526">
        <v>171.57</v>
      </c>
      <c r="E25" s="527">
        <v>1.24</v>
      </c>
      <c r="F25" s="101">
        <f t="shared" si="7"/>
        <v>7.2273707524625518E-3</v>
      </c>
      <c r="G25" s="102">
        <f t="shared" si="0"/>
        <v>9.0999999999999998E-2</v>
      </c>
      <c r="H25" s="102">
        <f t="shared" si="1"/>
        <v>7.4999999999999997E-2</v>
      </c>
      <c r="I25" s="102">
        <f t="shared" si="2"/>
        <v>9.3900000000000011E-2</v>
      </c>
      <c r="J25" s="528">
        <v>230.87899999999999</v>
      </c>
      <c r="K25" s="529">
        <f t="shared" si="8"/>
        <v>39.611910029999997</v>
      </c>
      <c r="L25" s="530">
        <f t="shared" si="3"/>
        <v>9.7182579096141101E-4</v>
      </c>
      <c r="M25" s="531">
        <f t="shared" si="9"/>
        <v>7.0237452980832879E-6</v>
      </c>
      <c r="N25" s="532">
        <f t="shared" si="10"/>
        <v>39.611910029999997</v>
      </c>
      <c r="O25" s="533">
        <f t="shared" si="4"/>
        <v>1.1832206281243076E-3</v>
      </c>
      <c r="P25" s="533">
        <f t="shared" si="11"/>
        <v>1.0767307715931199E-4</v>
      </c>
      <c r="Q25" s="532">
        <f t="shared" si="12"/>
        <v>39.611910029999997</v>
      </c>
      <c r="R25" s="534">
        <f t="shared" si="5"/>
        <v>1.1928302163168379E-3</v>
      </c>
      <c r="S25" s="533">
        <f t="shared" si="13"/>
        <v>8.9462266223762834E-5</v>
      </c>
      <c r="T25" s="532">
        <f t="shared" si="14"/>
        <v>39.611910029999997</v>
      </c>
      <c r="U25" s="534">
        <f t="shared" si="6"/>
        <v>1.1048437879459827E-3</v>
      </c>
      <c r="V25" s="533">
        <f t="shared" si="15"/>
        <v>1.0374483168812778E-4</v>
      </c>
      <c r="W25" s="533"/>
      <c r="X25" s="535">
        <v>9.0999999999999998E-2</v>
      </c>
      <c r="Y25" s="535">
        <v>7.4999999999999997E-2</v>
      </c>
      <c r="Z25" s="535">
        <v>9.3900000000000011E-2</v>
      </c>
    </row>
    <row r="26" spans="1:26" ht="14.5">
      <c r="A26" s="509">
        <v>22</v>
      </c>
      <c r="B26" s="524" t="s">
        <v>573</v>
      </c>
      <c r="C26" s="525" t="s">
        <v>357</v>
      </c>
      <c r="D26" s="526">
        <v>272.05</v>
      </c>
      <c r="E26" s="527">
        <v>9.52</v>
      </c>
      <c r="F26" s="101">
        <f t="shared" si="7"/>
        <v>3.4993567358941366E-2</v>
      </c>
      <c r="G26" s="102">
        <f t="shared" si="0"/>
        <v>5.1330000000000001E-2</v>
      </c>
      <c r="H26" s="102">
        <f t="shared" si="1"/>
        <v>5.5E-2</v>
      </c>
      <c r="I26" s="102">
        <f t="shared" si="2"/>
        <v>5.3099999999999994E-2</v>
      </c>
      <c r="J26" s="528">
        <v>537.70600000000002</v>
      </c>
      <c r="K26" s="529">
        <f t="shared" si="8"/>
        <v>146.28291730000001</v>
      </c>
      <c r="L26" s="530">
        <f t="shared" si="3"/>
        <v>3.5888577880124803E-3</v>
      </c>
      <c r="M26" s="531">
        <f t="shared" si="9"/>
        <v>1.2558693674647606E-4</v>
      </c>
      <c r="N26" s="532">
        <f t="shared" si="10"/>
        <v>146.28291730000001</v>
      </c>
      <c r="O26" s="533">
        <f t="shared" si="4"/>
        <v>4.3695182878199165E-3</v>
      </c>
      <c r="P26" s="533">
        <f t="shared" si="11"/>
        <v>2.2428737371379631E-4</v>
      </c>
      <c r="Q26" s="532">
        <f t="shared" si="12"/>
        <v>146.28291730000001</v>
      </c>
      <c r="R26" s="534">
        <f t="shared" si="5"/>
        <v>4.4050055590418883E-3</v>
      </c>
      <c r="S26" s="533">
        <f t="shared" si="13"/>
        <v>2.4227530574730385E-4</v>
      </c>
      <c r="T26" s="532">
        <f t="shared" si="14"/>
        <v>146.28291730000001</v>
      </c>
      <c r="U26" s="534">
        <f t="shared" si="6"/>
        <v>4.0800802672508983E-3</v>
      </c>
      <c r="V26" s="533">
        <f t="shared" si="15"/>
        <v>2.1665226219102268E-4</v>
      </c>
      <c r="W26" s="533"/>
      <c r="X26" s="535">
        <v>5.1330000000000001E-2</v>
      </c>
      <c r="Y26" s="535">
        <v>5.5E-2</v>
      </c>
      <c r="Z26" s="535">
        <v>5.3099999999999994E-2</v>
      </c>
    </row>
    <row r="27" spans="1:26" ht="14.5">
      <c r="A27" s="509">
        <v>23</v>
      </c>
      <c r="B27" s="524" t="s">
        <v>574</v>
      </c>
      <c r="C27" s="525" t="s">
        <v>575</v>
      </c>
      <c r="D27" s="526">
        <v>489</v>
      </c>
      <c r="E27" s="527">
        <v>6.4</v>
      </c>
      <c r="F27" s="101">
        <f t="shared" si="7"/>
        <v>1.3087934560327199E-2</v>
      </c>
      <c r="G27" s="102" t="str">
        <f t="shared" si="0"/>
        <v>NMF</v>
      </c>
      <c r="H27" s="102">
        <f t="shared" si="1"/>
        <v>0.09</v>
      </c>
      <c r="I27" s="102">
        <f t="shared" si="2"/>
        <v>7.2800000000000004E-2</v>
      </c>
      <c r="J27" s="528">
        <v>95.222999999999999</v>
      </c>
      <c r="K27" s="529">
        <f t="shared" si="8"/>
        <v>46.564047000000002</v>
      </c>
      <c r="L27" s="530">
        <f t="shared" si="3"/>
        <v>1.14238727119868E-3</v>
      </c>
      <c r="M27" s="531">
        <f t="shared" si="9"/>
        <v>1.4951489847999084E-5</v>
      </c>
      <c r="N27" s="532" t="str">
        <f t="shared" si="10"/>
        <v>--</v>
      </c>
      <c r="O27" s="533" t="str">
        <f t="shared" si="4"/>
        <v>--</v>
      </c>
      <c r="P27" s="533" t="str">
        <f t="shared" si="11"/>
        <v>--</v>
      </c>
      <c r="Q27" s="532">
        <f t="shared" si="12"/>
        <v>46.564047000000002</v>
      </c>
      <c r="R27" s="534">
        <f t="shared" si="5"/>
        <v>1.4021793499362197E-3</v>
      </c>
      <c r="S27" s="533">
        <f t="shared" si="13"/>
        <v>1.2619614149425977E-4</v>
      </c>
      <c r="T27" s="532">
        <f t="shared" si="14"/>
        <v>46.564047000000002</v>
      </c>
      <c r="U27" s="534">
        <f t="shared" si="6"/>
        <v>1.2987507552807288E-3</v>
      </c>
      <c r="V27" s="533">
        <f t="shared" si="15"/>
        <v>9.4549054984437067E-5</v>
      </c>
      <c r="W27" s="533"/>
      <c r="X27" s="535" t="s">
        <v>36</v>
      </c>
      <c r="Y27" s="535">
        <v>0.09</v>
      </c>
      <c r="Z27" s="535">
        <v>7.2800000000000004E-2</v>
      </c>
    </row>
    <row r="28" spans="1:26" ht="14.5">
      <c r="A28" s="509">
        <v>24</v>
      </c>
      <c r="B28" s="524" t="s">
        <v>576</v>
      </c>
      <c r="C28" s="525" t="s">
        <v>577</v>
      </c>
      <c r="D28" s="526">
        <v>217.88</v>
      </c>
      <c r="E28" s="527">
        <v>7.25</v>
      </c>
      <c r="F28" s="101">
        <f t="shared" si="7"/>
        <v>3.3275197356342941E-2</v>
      </c>
      <c r="G28" s="102">
        <f t="shared" si="0"/>
        <v>0.185</v>
      </c>
      <c r="H28" s="102">
        <f t="shared" si="1"/>
        <v>0.1</v>
      </c>
      <c r="I28" s="102">
        <f t="shared" si="2"/>
        <v>0.16649999999999998</v>
      </c>
      <c r="J28" s="528">
        <v>468.13799999999998</v>
      </c>
      <c r="K28" s="529">
        <f t="shared" si="8"/>
        <v>101.99790743999999</v>
      </c>
      <c r="L28" s="530">
        <f t="shared" si="3"/>
        <v>2.5023836770106584E-3</v>
      </c>
      <c r="M28" s="531">
        <f t="shared" si="9"/>
        <v>8.3267310713820789E-5</v>
      </c>
      <c r="N28" s="532">
        <f t="shared" si="10"/>
        <v>101.99790743999999</v>
      </c>
      <c r="O28" s="533">
        <f t="shared" si="4"/>
        <v>3.0467106488205305E-3</v>
      </c>
      <c r="P28" s="533">
        <f t="shared" si="11"/>
        <v>5.6364147003179813E-4</v>
      </c>
      <c r="Q28" s="532">
        <f t="shared" si="12"/>
        <v>101.99790743999999</v>
      </c>
      <c r="R28" s="534">
        <f t="shared" si="5"/>
        <v>3.0714546686432536E-3</v>
      </c>
      <c r="S28" s="533">
        <f t="shared" si="13"/>
        <v>3.071454668643254E-4</v>
      </c>
      <c r="T28" s="532">
        <f t="shared" si="14"/>
        <v>101.99790743999999</v>
      </c>
      <c r="U28" s="534">
        <f t="shared" si="6"/>
        <v>2.8448957481026905E-3</v>
      </c>
      <c r="V28" s="533">
        <f t="shared" si="15"/>
        <v>4.7367514205909795E-4</v>
      </c>
      <c r="W28" s="533"/>
      <c r="X28" s="535">
        <v>0.185</v>
      </c>
      <c r="Y28" s="535">
        <v>0.1</v>
      </c>
      <c r="Z28" s="535">
        <v>0.16649999999999998</v>
      </c>
    </row>
    <row r="29" spans="1:26" ht="14.5">
      <c r="A29" s="509">
        <v>25</v>
      </c>
      <c r="B29" s="524" t="s">
        <v>578</v>
      </c>
      <c r="C29" s="525" t="s">
        <v>579</v>
      </c>
      <c r="D29" s="526">
        <v>357.11</v>
      </c>
      <c r="E29" s="527">
        <v>2.98</v>
      </c>
      <c r="F29" s="101">
        <f t="shared" si="7"/>
        <v>8.3447677186301132E-3</v>
      </c>
      <c r="G29" s="102">
        <f t="shared" si="0"/>
        <v>0.1</v>
      </c>
      <c r="H29" s="102">
        <f t="shared" si="1"/>
        <v>9.5000000000000001E-2</v>
      </c>
      <c r="I29" s="102">
        <f t="shared" si="2"/>
        <v>9.9900000000000003E-2</v>
      </c>
      <c r="J29" s="528">
        <v>215.94</v>
      </c>
      <c r="K29" s="529">
        <f t="shared" si="8"/>
        <v>77.114333400000007</v>
      </c>
      <c r="L29" s="530">
        <f t="shared" si="3"/>
        <v>1.8918981183729847E-3</v>
      </c>
      <c r="M29" s="531">
        <f t="shared" si="9"/>
        <v>1.5787450345135935E-5</v>
      </c>
      <c r="N29" s="532">
        <f t="shared" si="10"/>
        <v>77.114333400000007</v>
      </c>
      <c r="O29" s="533">
        <f t="shared" si="4"/>
        <v>2.3034302040429856E-3</v>
      </c>
      <c r="P29" s="533">
        <f t="shared" si="11"/>
        <v>2.3034302040429857E-4</v>
      </c>
      <c r="Q29" s="532">
        <f t="shared" si="12"/>
        <v>77.114333400000007</v>
      </c>
      <c r="R29" s="534">
        <f t="shared" si="5"/>
        <v>2.3221376328732102E-3</v>
      </c>
      <c r="S29" s="533">
        <f t="shared" si="13"/>
        <v>2.2060307512295496E-4</v>
      </c>
      <c r="T29" s="532">
        <f t="shared" si="14"/>
        <v>77.114333400000007</v>
      </c>
      <c r="U29" s="534">
        <f t="shared" si="6"/>
        <v>2.1508503920679386E-3</v>
      </c>
      <c r="V29" s="533">
        <f t="shared" si="15"/>
        <v>2.1486995416758708E-4</v>
      </c>
      <c r="W29" s="533"/>
      <c r="X29" s="535">
        <v>0.1</v>
      </c>
      <c r="Y29" s="535">
        <v>9.5000000000000001E-2</v>
      </c>
      <c r="Z29" s="535">
        <v>9.9900000000000003E-2</v>
      </c>
    </row>
    <row r="30" spans="1:26" ht="14.5">
      <c r="A30" s="509">
        <v>26</v>
      </c>
      <c r="B30" s="524" t="s">
        <v>580</v>
      </c>
      <c r="C30" s="525" t="s">
        <v>581</v>
      </c>
      <c r="D30" s="526">
        <v>68.010000000000005</v>
      </c>
      <c r="E30" s="527">
        <v>1.36</v>
      </c>
      <c r="F30" s="101">
        <f t="shared" si="7"/>
        <v>1.9997059255991767E-2</v>
      </c>
      <c r="G30" s="102">
        <f t="shared" si="0"/>
        <v>0.12</v>
      </c>
      <c r="H30" s="102">
        <f t="shared" si="1"/>
        <v>7.4999999999999997E-2</v>
      </c>
      <c r="I30" s="102">
        <f t="shared" si="2"/>
        <v>0.12</v>
      </c>
      <c r="J30" s="528">
        <v>142.10900000000001</v>
      </c>
      <c r="K30" s="529">
        <f t="shared" si="8"/>
        <v>9.6648330900000019</v>
      </c>
      <c r="L30" s="530">
        <f t="shared" si="3"/>
        <v>2.3711388961264058E-4</v>
      </c>
      <c r="M30" s="531">
        <f t="shared" si="9"/>
        <v>4.7415805010026647E-6</v>
      </c>
      <c r="N30" s="532">
        <f t="shared" si="10"/>
        <v>9.6648330900000019</v>
      </c>
      <c r="O30" s="533">
        <f t="shared" si="4"/>
        <v>2.886917058734518E-4</v>
      </c>
      <c r="P30" s="533">
        <f t="shared" si="11"/>
        <v>3.4643004704814216E-5</v>
      </c>
      <c r="Q30" s="532">
        <f t="shared" si="12"/>
        <v>9.6648330900000019</v>
      </c>
      <c r="R30" s="534">
        <f t="shared" si="5"/>
        <v>2.9103633065610183E-4</v>
      </c>
      <c r="S30" s="533">
        <f t="shared" si="13"/>
        <v>2.1827724799207638E-5</v>
      </c>
      <c r="T30" s="532">
        <f t="shared" si="14"/>
        <v>9.6648330900000019</v>
      </c>
      <c r="U30" s="534">
        <f t="shared" si="6"/>
        <v>2.6956869267183073E-4</v>
      </c>
      <c r="V30" s="533">
        <f t="shared" si="15"/>
        <v>3.2348243120619688E-5</v>
      </c>
      <c r="W30" s="533"/>
      <c r="X30" s="535">
        <v>0.12</v>
      </c>
      <c r="Y30" s="535">
        <v>7.4999999999999997E-2</v>
      </c>
      <c r="Z30" s="535">
        <v>0.12</v>
      </c>
    </row>
    <row r="31" spans="1:26" ht="14.5">
      <c r="A31" s="509">
        <v>27</v>
      </c>
      <c r="B31" s="524" t="s">
        <v>582</v>
      </c>
      <c r="C31" s="525" t="s">
        <v>583</v>
      </c>
      <c r="D31" s="526">
        <v>16.18</v>
      </c>
      <c r="E31" s="527">
        <v>1</v>
      </c>
      <c r="F31" s="101">
        <f t="shared" si="7"/>
        <v>6.1804697156983932E-2</v>
      </c>
      <c r="G31" s="102" t="str">
        <f t="shared" si="0"/>
        <v>NMF</v>
      </c>
      <c r="H31" s="102">
        <f t="shared" si="1"/>
        <v>7.0000000000000007E-2</v>
      </c>
      <c r="I31" s="102" t="str">
        <f t="shared" si="2"/>
        <v>NMF</v>
      </c>
      <c r="J31" s="528">
        <v>361.66399999999999</v>
      </c>
      <c r="K31" s="529">
        <f t="shared" si="8"/>
        <v>5.8517235199999993</v>
      </c>
      <c r="L31" s="530">
        <f t="shared" si="3"/>
        <v>1.43564292507091E-4</v>
      </c>
      <c r="M31" s="531">
        <f t="shared" si="9"/>
        <v>8.8729476209574172E-6</v>
      </c>
      <c r="N31" s="532" t="str">
        <f t="shared" si="10"/>
        <v>--</v>
      </c>
      <c r="O31" s="533" t="str">
        <f t="shared" si="4"/>
        <v>--</v>
      </c>
      <c r="P31" s="533" t="str">
        <f t="shared" si="11"/>
        <v>--</v>
      </c>
      <c r="Q31" s="532">
        <f t="shared" si="12"/>
        <v>5.8517235199999993</v>
      </c>
      <c r="R31" s="534">
        <f t="shared" si="5"/>
        <v>1.7621247314006201E-4</v>
      </c>
      <c r="S31" s="533">
        <f t="shared" si="13"/>
        <v>1.2334873119804342E-5</v>
      </c>
      <c r="T31" s="532" t="str">
        <f t="shared" si="14"/>
        <v>--</v>
      </c>
      <c r="U31" s="534" t="str">
        <f t="shared" si="6"/>
        <v>--</v>
      </c>
      <c r="V31" s="533" t="str">
        <f t="shared" si="15"/>
        <v>--</v>
      </c>
      <c r="W31" s="533"/>
      <c r="X31" s="535">
        <v>-2.6000000000000002E-2</v>
      </c>
      <c r="Y31" s="535">
        <v>7.0000000000000007E-2</v>
      </c>
      <c r="Z31" s="535" t="s">
        <v>36</v>
      </c>
    </row>
    <row r="32" spans="1:26" ht="14.5">
      <c r="A32" s="509">
        <v>28</v>
      </c>
      <c r="B32" s="524" t="s">
        <v>584</v>
      </c>
      <c r="C32" s="525" t="s">
        <v>351</v>
      </c>
      <c r="D32" s="526">
        <v>269.64</v>
      </c>
      <c r="E32" s="527">
        <v>7.16</v>
      </c>
      <c r="F32" s="101">
        <f t="shared" si="7"/>
        <v>2.6553923750185435E-2</v>
      </c>
      <c r="G32" s="102">
        <f t="shared" si="0"/>
        <v>4.3250000000000004E-2</v>
      </c>
      <c r="H32" s="102">
        <f t="shared" si="1"/>
        <v>7.0000000000000007E-2</v>
      </c>
      <c r="I32" s="102">
        <f t="shared" si="2"/>
        <v>4.3400000000000001E-2</v>
      </c>
      <c r="J32" s="528">
        <v>222.54400000000001</v>
      </c>
      <c r="K32" s="529">
        <f t="shared" si="8"/>
        <v>60.006764159999996</v>
      </c>
      <c r="L32" s="530">
        <f t="shared" si="3"/>
        <v>1.4721865468911054E-3</v>
      </c>
      <c r="M32" s="531">
        <f t="shared" si="9"/>
        <v>3.9092329312195207E-5</v>
      </c>
      <c r="N32" s="532">
        <f t="shared" si="10"/>
        <v>60.006764159999996</v>
      </c>
      <c r="O32" s="533">
        <f t="shared" si="4"/>
        <v>1.7924215501683646E-3</v>
      </c>
      <c r="P32" s="533">
        <f t="shared" si="11"/>
        <v>7.752223204478178E-5</v>
      </c>
      <c r="Q32" s="532">
        <f t="shared" si="12"/>
        <v>60.006764159999996</v>
      </c>
      <c r="R32" s="534">
        <f t="shared" si="5"/>
        <v>1.8069787954995585E-3</v>
      </c>
      <c r="S32" s="533">
        <f t="shared" si="13"/>
        <v>1.264885156849691E-4</v>
      </c>
      <c r="T32" s="532">
        <f t="shared" si="14"/>
        <v>60.006764159999996</v>
      </c>
      <c r="U32" s="534">
        <f t="shared" si="6"/>
        <v>1.6736910834823388E-3</v>
      </c>
      <c r="V32" s="533">
        <f t="shared" si="15"/>
        <v>7.2638193023133506E-5</v>
      </c>
      <c r="W32" s="533"/>
      <c r="X32" s="535">
        <v>4.3250000000000004E-2</v>
      </c>
      <c r="Y32" s="535">
        <v>7.0000000000000007E-2</v>
      </c>
      <c r="Z32" s="535">
        <v>4.3400000000000001E-2</v>
      </c>
    </row>
    <row r="33" spans="1:26" ht="14.5">
      <c r="A33" s="509">
        <v>29</v>
      </c>
      <c r="B33" s="524" t="s">
        <v>585</v>
      </c>
      <c r="C33" s="525" t="s">
        <v>586</v>
      </c>
      <c r="D33" s="526">
        <v>80.58</v>
      </c>
      <c r="E33" s="527">
        <v>0.69</v>
      </c>
      <c r="F33" s="101">
        <f t="shared" si="7"/>
        <v>8.5629188384214443E-3</v>
      </c>
      <c r="G33" s="102">
        <f t="shared" si="0"/>
        <v>0.157</v>
      </c>
      <c r="H33" s="102">
        <f t="shared" si="1"/>
        <v>0.14000000000000001</v>
      </c>
      <c r="I33" s="102">
        <f t="shared" si="2"/>
        <v>0.1641</v>
      </c>
      <c r="J33" s="528">
        <v>1209.5989999999999</v>
      </c>
      <c r="K33" s="529">
        <f t="shared" si="8"/>
        <v>97.469487419999993</v>
      </c>
      <c r="L33" s="530">
        <f t="shared" si="3"/>
        <v>2.391284884642176E-3</v>
      </c>
      <c r="M33" s="531">
        <f t="shared" si="9"/>
        <v>2.0476378386734938E-5</v>
      </c>
      <c r="N33" s="532">
        <f t="shared" si="10"/>
        <v>97.469487419999993</v>
      </c>
      <c r="O33" s="533">
        <f t="shared" si="4"/>
        <v>2.9114452708971453E-3</v>
      </c>
      <c r="P33" s="533">
        <f t="shared" si="11"/>
        <v>4.5709690753085183E-4</v>
      </c>
      <c r="Q33" s="532">
        <f t="shared" si="12"/>
        <v>97.469487419999993</v>
      </c>
      <c r="R33" s="534">
        <f t="shared" si="5"/>
        <v>2.93509072588111E-3</v>
      </c>
      <c r="S33" s="533">
        <f t="shared" si="13"/>
        <v>4.1091270162335543E-4</v>
      </c>
      <c r="T33" s="532">
        <f t="shared" si="14"/>
        <v>97.469487419999993</v>
      </c>
      <c r="U33" s="534">
        <f t="shared" si="6"/>
        <v>2.7185903837686288E-3</v>
      </c>
      <c r="V33" s="533">
        <f t="shared" si="15"/>
        <v>4.4612068197643197E-4</v>
      </c>
      <c r="W33" s="533"/>
      <c r="X33" s="535">
        <v>0.157</v>
      </c>
      <c r="Y33" s="535">
        <v>0.14000000000000001</v>
      </c>
      <c r="Z33" s="535">
        <v>0.1641</v>
      </c>
    </row>
    <row r="34" spans="1:26" ht="14.5">
      <c r="A34" s="509">
        <v>30</v>
      </c>
      <c r="B34" s="524" t="s">
        <v>1306</v>
      </c>
      <c r="C34" s="525" t="s">
        <v>1307</v>
      </c>
      <c r="D34" s="526">
        <v>133.19</v>
      </c>
      <c r="E34" s="527">
        <v>1.85</v>
      </c>
      <c r="F34" s="101">
        <f t="shared" si="7"/>
        <v>1.3889931676552295E-2</v>
      </c>
      <c r="G34" s="102">
        <f t="shared" si="0"/>
        <v>0.14093</v>
      </c>
      <c r="H34" s="102" t="str">
        <f t="shared" si="1"/>
        <v>NMF</v>
      </c>
      <c r="I34" s="102">
        <f t="shared" si="2"/>
        <v>0.1323</v>
      </c>
      <c r="J34" s="528">
        <v>571.51199999999994</v>
      </c>
      <c r="K34" s="529">
        <f t="shared" si="8"/>
        <v>76.119683280000004</v>
      </c>
      <c r="L34" s="530">
        <f t="shared" si="3"/>
        <v>1.8674956939792407E-3</v>
      </c>
      <c r="M34" s="531">
        <f t="shared" si="9"/>
        <v>2.5939387595627265E-5</v>
      </c>
      <c r="N34" s="532">
        <f t="shared" si="10"/>
        <v>76.119683280000004</v>
      </c>
      <c r="O34" s="533">
        <f t="shared" si="4"/>
        <v>2.2737196816556781E-3</v>
      </c>
      <c r="P34" s="533">
        <f t="shared" si="11"/>
        <v>3.204353147357347E-4</v>
      </c>
      <c r="Q34" s="532" t="str">
        <f t="shared" si="12"/>
        <v>--</v>
      </c>
      <c r="R34" s="534" t="str">
        <f t="shared" si="5"/>
        <v>--</v>
      </c>
      <c r="S34" s="533" t="str">
        <f t="shared" si="13"/>
        <v>--</v>
      </c>
      <c r="T34" s="532">
        <f t="shared" si="14"/>
        <v>76.119683280000004</v>
      </c>
      <c r="U34" s="534">
        <f t="shared" si="6"/>
        <v>2.1231079023614477E-3</v>
      </c>
      <c r="V34" s="533">
        <f t="shared" si="15"/>
        <v>2.8088717548241951E-4</v>
      </c>
      <c r="W34" s="533"/>
      <c r="X34" s="535">
        <v>0.14093</v>
      </c>
      <c r="Y34" s="535">
        <v>0.245</v>
      </c>
      <c r="Z34" s="535">
        <v>0.1323</v>
      </c>
    </row>
    <row r="35" spans="1:26" ht="14.5">
      <c r="A35" s="509">
        <v>31</v>
      </c>
      <c r="B35" s="524" t="s">
        <v>587</v>
      </c>
      <c r="C35" s="525" t="s">
        <v>588</v>
      </c>
      <c r="D35" s="526">
        <v>73.69</v>
      </c>
      <c r="E35" s="527">
        <v>5.28</v>
      </c>
      <c r="F35" s="101">
        <f t="shared" si="7"/>
        <v>7.1651513095399647E-2</v>
      </c>
      <c r="G35" s="102" t="str">
        <f t="shared" si="0"/>
        <v>NMF</v>
      </c>
      <c r="H35" s="102">
        <f t="shared" si="1"/>
        <v>8.5000000000000006E-2</v>
      </c>
      <c r="I35" s="102">
        <f t="shared" si="2"/>
        <v>1.29E-2</v>
      </c>
      <c r="J35" s="528">
        <v>172.989</v>
      </c>
      <c r="K35" s="529">
        <f t="shared" si="8"/>
        <v>12.747559409999999</v>
      </c>
      <c r="L35" s="530">
        <f t="shared" si="3"/>
        <v>3.1274450025430461E-4</v>
      </c>
      <c r="M35" s="531">
        <f t="shared" si="9"/>
        <v>2.2408616655485524E-5</v>
      </c>
      <c r="N35" s="532" t="str">
        <f t="shared" si="10"/>
        <v>--</v>
      </c>
      <c r="O35" s="533" t="str">
        <f t="shared" si="4"/>
        <v>--</v>
      </c>
      <c r="P35" s="533" t="str">
        <f t="shared" si="11"/>
        <v>--</v>
      </c>
      <c r="Q35" s="532">
        <f t="shared" si="12"/>
        <v>12.747559409999999</v>
      </c>
      <c r="R35" s="534">
        <f t="shared" si="5"/>
        <v>3.8386621692884936E-4</v>
      </c>
      <c r="S35" s="533">
        <f t="shared" si="13"/>
        <v>3.2628628438952197E-5</v>
      </c>
      <c r="T35" s="532">
        <f t="shared" si="14"/>
        <v>12.747559409999999</v>
      </c>
      <c r="U35" s="534">
        <f t="shared" si="6"/>
        <v>3.5555119192546685E-4</v>
      </c>
      <c r="V35" s="533">
        <f t="shared" si="15"/>
        <v>4.5866103758385223E-6</v>
      </c>
      <c r="W35" s="533"/>
      <c r="X35" s="535">
        <v>0.76</v>
      </c>
      <c r="Y35" s="535">
        <v>8.5000000000000006E-2</v>
      </c>
      <c r="Z35" s="535">
        <v>1.29E-2</v>
      </c>
    </row>
    <row r="36" spans="1:26" ht="14.5">
      <c r="A36" s="509">
        <v>32</v>
      </c>
      <c r="B36" s="524" t="s">
        <v>589</v>
      </c>
      <c r="C36" s="525" t="s">
        <v>590</v>
      </c>
      <c r="D36" s="526">
        <v>161.25</v>
      </c>
      <c r="E36" s="527">
        <v>3.58</v>
      </c>
      <c r="F36" s="101">
        <f t="shared" si="7"/>
        <v>2.2201550387596899E-2</v>
      </c>
      <c r="G36" s="102">
        <f t="shared" si="0"/>
        <v>7.2999999999999995E-2</v>
      </c>
      <c r="H36" s="102">
        <f t="shared" si="1"/>
        <v>0.06</v>
      </c>
      <c r="I36" s="102">
        <f t="shared" si="2"/>
        <v>7.1900000000000006E-2</v>
      </c>
      <c r="J36" s="528">
        <v>158.72800000000001</v>
      </c>
      <c r="K36" s="529">
        <f t="shared" si="8"/>
        <v>25.594890000000003</v>
      </c>
      <c r="L36" s="530">
        <f t="shared" si="3"/>
        <v>6.2793675437468701E-4</v>
      </c>
      <c r="M36" s="531">
        <f t="shared" si="9"/>
        <v>1.3941169492473671E-5</v>
      </c>
      <c r="N36" s="532">
        <f t="shared" si="10"/>
        <v>25.594890000000003</v>
      </c>
      <c r="O36" s="533">
        <f t="shared" si="4"/>
        <v>7.6452768371019564E-4</v>
      </c>
      <c r="P36" s="533">
        <f t="shared" si="11"/>
        <v>5.5810520910844281E-5</v>
      </c>
      <c r="Q36" s="532">
        <f t="shared" si="12"/>
        <v>25.594890000000003</v>
      </c>
      <c r="R36" s="534">
        <f t="shared" si="5"/>
        <v>7.7073683526453468E-4</v>
      </c>
      <c r="S36" s="533">
        <f t="shared" si="13"/>
        <v>4.6244210115872082E-5</v>
      </c>
      <c r="T36" s="532">
        <f t="shared" si="14"/>
        <v>25.594890000000003</v>
      </c>
      <c r="U36" s="534">
        <f t="shared" si="6"/>
        <v>7.1388517236972921E-4</v>
      </c>
      <c r="V36" s="533">
        <f t="shared" si="15"/>
        <v>5.1328343893383531E-5</v>
      </c>
      <c r="W36" s="533"/>
      <c r="X36" s="535">
        <v>7.2999999999999995E-2</v>
      </c>
      <c r="Y36" s="535">
        <v>0.06</v>
      </c>
      <c r="Z36" s="535">
        <v>7.1900000000000006E-2</v>
      </c>
    </row>
    <row r="37" spans="1:26" ht="14.5">
      <c r="A37" s="509">
        <v>33</v>
      </c>
      <c r="B37" s="524" t="s">
        <v>591</v>
      </c>
      <c r="C37" s="525" t="s">
        <v>592</v>
      </c>
      <c r="D37" s="526">
        <v>204.45</v>
      </c>
      <c r="E37" s="527">
        <v>7.07</v>
      </c>
      <c r="F37" s="101">
        <f t="shared" si="7"/>
        <v>3.4580582049400836E-2</v>
      </c>
      <c r="G37" s="102" t="str">
        <f t="shared" si="0"/>
        <v>NMF</v>
      </c>
      <c r="H37" s="102">
        <f t="shared" si="1"/>
        <v>0.06</v>
      </c>
      <c r="I37" s="102">
        <f t="shared" si="2"/>
        <v>6.4899999999999999E-2</v>
      </c>
      <c r="J37" s="528">
        <v>142.369</v>
      </c>
      <c r="K37" s="529">
        <f t="shared" si="8"/>
        <v>29.10734205</v>
      </c>
      <c r="L37" s="530">
        <f t="shared" si="3"/>
        <v>7.1411011711130026E-4</v>
      </c>
      <c r="M37" s="531">
        <f t="shared" si="9"/>
        <v>2.4694343497074559E-5</v>
      </c>
      <c r="N37" s="532" t="str">
        <f t="shared" si="10"/>
        <v>--</v>
      </c>
      <c r="O37" s="533" t="str">
        <f t="shared" si="4"/>
        <v>--</v>
      </c>
      <c r="P37" s="533" t="str">
        <f t="shared" si="11"/>
        <v>--</v>
      </c>
      <c r="Q37" s="532">
        <f t="shared" si="12"/>
        <v>29.10734205</v>
      </c>
      <c r="R37" s="534">
        <f t="shared" si="5"/>
        <v>8.7650701739993067E-4</v>
      </c>
      <c r="S37" s="533">
        <f t="shared" si="13"/>
        <v>5.2590421043995841E-5</v>
      </c>
      <c r="T37" s="532">
        <f t="shared" si="14"/>
        <v>29.10734205</v>
      </c>
      <c r="U37" s="534">
        <f t="shared" si="6"/>
        <v>8.1185345577140257E-4</v>
      </c>
      <c r="V37" s="533">
        <f t="shared" si="15"/>
        <v>5.2689289279564024E-5</v>
      </c>
      <c r="W37" s="533"/>
      <c r="X37" s="535">
        <v>-5.8899999999999994E-2</v>
      </c>
      <c r="Y37" s="535">
        <v>0.06</v>
      </c>
      <c r="Z37" s="535">
        <v>6.4899999999999999E-2</v>
      </c>
    </row>
    <row r="38" spans="1:26" ht="14.5">
      <c r="A38" s="509">
        <v>34</v>
      </c>
      <c r="B38" s="524" t="s">
        <v>593</v>
      </c>
      <c r="C38" s="525" t="s">
        <v>594</v>
      </c>
      <c r="D38" s="526">
        <v>207.77</v>
      </c>
      <c r="E38" s="527">
        <v>2.36</v>
      </c>
      <c r="F38" s="101">
        <f t="shared" si="7"/>
        <v>1.1358713962554747E-2</v>
      </c>
      <c r="G38" s="102">
        <f t="shared" si="0"/>
        <v>0.1875</v>
      </c>
      <c r="H38" s="102" t="str">
        <f t="shared" si="1"/>
        <v>NMF</v>
      </c>
      <c r="I38" s="102">
        <f t="shared" si="2"/>
        <v>0.1905</v>
      </c>
      <c r="J38" s="528">
        <v>4701.9489999999996</v>
      </c>
      <c r="K38" s="529">
        <f t="shared" si="8"/>
        <v>976.92394372999991</v>
      </c>
      <c r="L38" s="530">
        <f t="shared" si="3"/>
        <v>2.3967536117433422E-2</v>
      </c>
      <c r="M38" s="531">
        <f t="shared" si="9"/>
        <v>2.7224038714512621E-4</v>
      </c>
      <c r="N38" s="532">
        <f t="shared" si="10"/>
        <v>976.92394372999991</v>
      </c>
      <c r="O38" s="533">
        <f t="shared" si="4"/>
        <v>2.918103574037342E-2</v>
      </c>
      <c r="P38" s="533">
        <f t="shared" si="11"/>
        <v>5.471444201320016E-3</v>
      </c>
      <c r="Q38" s="532" t="str">
        <f t="shared" si="12"/>
        <v>--</v>
      </c>
      <c r="R38" s="534" t="str">
        <f t="shared" si="5"/>
        <v>--</v>
      </c>
      <c r="S38" s="533" t="str">
        <f t="shared" si="13"/>
        <v>--</v>
      </c>
      <c r="T38" s="532">
        <f t="shared" si="14"/>
        <v>976.92394372999991</v>
      </c>
      <c r="U38" s="534">
        <f t="shared" si="6"/>
        <v>2.7248076391881603E-2</v>
      </c>
      <c r="V38" s="533">
        <f t="shared" si="15"/>
        <v>5.1907585526534458E-3</v>
      </c>
      <c r="W38" s="533"/>
      <c r="X38" s="535">
        <v>0.1875</v>
      </c>
      <c r="Y38" s="535">
        <v>0.22</v>
      </c>
      <c r="Z38" s="535">
        <v>0.1905</v>
      </c>
    </row>
    <row r="39" spans="1:26" ht="14.5">
      <c r="A39" s="509">
        <v>35</v>
      </c>
      <c r="B39" s="524" t="s">
        <v>595</v>
      </c>
      <c r="C39" s="525" t="s">
        <v>596</v>
      </c>
      <c r="D39" s="526">
        <v>173.02</v>
      </c>
      <c r="E39" s="527">
        <v>3.8</v>
      </c>
      <c r="F39" s="101">
        <f t="shared" si="7"/>
        <v>2.1962778869494853E-2</v>
      </c>
      <c r="G39" s="102">
        <f t="shared" si="0"/>
        <v>8.900000000000001E-2</v>
      </c>
      <c r="H39" s="102">
        <f t="shared" si="1"/>
        <v>4.4999999999999998E-2</v>
      </c>
      <c r="I39" s="102">
        <f t="shared" si="2"/>
        <v>6.5299999999999997E-2</v>
      </c>
      <c r="J39" s="528">
        <v>78.176000000000002</v>
      </c>
      <c r="K39" s="529">
        <f t="shared" si="8"/>
        <v>13.526011520000003</v>
      </c>
      <c r="L39" s="530">
        <f t="shared" si="3"/>
        <v>3.3184279258490379E-4</v>
      </c>
      <c r="M39" s="531">
        <f t="shared" si="9"/>
        <v>7.2881898729778882E-6</v>
      </c>
      <c r="N39" s="532">
        <f t="shared" si="10"/>
        <v>13.526011520000003</v>
      </c>
      <c r="O39" s="533">
        <f t="shared" si="4"/>
        <v>4.0402636062210161E-4</v>
      </c>
      <c r="P39" s="533">
        <f t="shared" si="11"/>
        <v>3.595834609536705E-5</v>
      </c>
      <c r="Q39" s="532">
        <f t="shared" si="12"/>
        <v>13.526011520000003</v>
      </c>
      <c r="R39" s="534">
        <f t="shared" si="5"/>
        <v>4.0730768183322685E-4</v>
      </c>
      <c r="S39" s="533">
        <f t="shared" si="13"/>
        <v>1.8328845682495208E-5</v>
      </c>
      <c r="T39" s="532">
        <f t="shared" si="14"/>
        <v>13.526011520000003</v>
      </c>
      <c r="U39" s="534">
        <f t="shared" si="6"/>
        <v>3.772635500848077E-4</v>
      </c>
      <c r="V39" s="533">
        <f t="shared" si="15"/>
        <v>2.4635309820537942E-5</v>
      </c>
      <c r="W39" s="533"/>
      <c r="X39" s="535">
        <v>8.900000000000001E-2</v>
      </c>
      <c r="Y39" s="535">
        <v>4.4999999999999998E-2</v>
      </c>
      <c r="Z39" s="535">
        <v>6.5299999999999997E-2</v>
      </c>
    </row>
    <row r="40" spans="1:26" ht="14.5">
      <c r="A40" s="509">
        <v>36</v>
      </c>
      <c r="B40" s="524" t="s">
        <v>597</v>
      </c>
      <c r="C40" s="525" t="s">
        <v>598</v>
      </c>
      <c r="D40" s="526">
        <v>145.4</v>
      </c>
      <c r="E40" s="527">
        <v>3.26</v>
      </c>
      <c r="F40" s="101">
        <f t="shared" si="7"/>
        <v>2.2420907840440162E-2</v>
      </c>
      <c r="G40" s="102">
        <f t="shared" si="0"/>
        <v>8.3000000000000004E-2</v>
      </c>
      <c r="H40" s="102">
        <f t="shared" si="1"/>
        <v>7.0000000000000007E-2</v>
      </c>
      <c r="I40" s="102">
        <f t="shared" si="2"/>
        <v>7.400000000000001E-2</v>
      </c>
      <c r="J40" s="528">
        <v>195.012</v>
      </c>
      <c r="K40" s="529">
        <f t="shared" si="8"/>
        <v>28.354744799999999</v>
      </c>
      <c r="L40" s="530">
        <f t="shared" si="3"/>
        <v>6.9564613955498667E-4</v>
      </c>
      <c r="M40" s="531">
        <f t="shared" si="9"/>
        <v>1.5597017984520333E-5</v>
      </c>
      <c r="N40" s="532">
        <f t="shared" si="10"/>
        <v>28.354744799999999</v>
      </c>
      <c r="O40" s="533">
        <f t="shared" si="4"/>
        <v>8.4696544365448379E-4</v>
      </c>
      <c r="P40" s="533">
        <f t="shared" si="11"/>
        <v>7.0298131823322152E-5</v>
      </c>
      <c r="Q40" s="532">
        <f t="shared" si="12"/>
        <v>28.354744799999999</v>
      </c>
      <c r="R40" s="534">
        <f t="shared" si="5"/>
        <v>8.5384411778622682E-4</v>
      </c>
      <c r="S40" s="533">
        <f t="shared" si="13"/>
        <v>5.9769088245035882E-5</v>
      </c>
      <c r="T40" s="532">
        <f t="shared" si="14"/>
        <v>28.354744799999999</v>
      </c>
      <c r="U40" s="534">
        <f t="shared" si="6"/>
        <v>7.9086223379149824E-4</v>
      </c>
      <c r="V40" s="533">
        <f t="shared" si="15"/>
        <v>5.8523805300570879E-5</v>
      </c>
      <c r="W40" s="533"/>
      <c r="X40" s="535">
        <v>8.3000000000000004E-2</v>
      </c>
      <c r="Y40" s="535">
        <v>7.0000000000000007E-2</v>
      </c>
      <c r="Z40" s="535">
        <v>7.400000000000001E-2</v>
      </c>
    </row>
    <row r="41" spans="1:26" ht="14.5">
      <c r="A41" s="509">
        <v>37</v>
      </c>
      <c r="B41" s="524" t="s">
        <v>599</v>
      </c>
      <c r="C41" s="525" t="s">
        <v>600</v>
      </c>
      <c r="D41" s="526">
        <v>283.66000000000003</v>
      </c>
      <c r="E41" s="527">
        <v>3.36</v>
      </c>
      <c r="F41" s="101">
        <f t="shared" si="7"/>
        <v>1.1845166748924768E-2</v>
      </c>
      <c r="G41" s="102">
        <f t="shared" si="0"/>
        <v>6.9000000000000006E-2</v>
      </c>
      <c r="H41" s="102">
        <f t="shared" si="1"/>
        <v>0.09</v>
      </c>
      <c r="I41" s="102">
        <f t="shared" si="2"/>
        <v>0.13470000000000001</v>
      </c>
      <c r="J41" s="528">
        <v>700.58900000000006</v>
      </c>
      <c r="K41" s="529">
        <f t="shared" si="8"/>
        <v>198.72907574000004</v>
      </c>
      <c r="L41" s="530">
        <f t="shared" si="3"/>
        <v>4.8755548791206745E-3</v>
      </c>
      <c r="M41" s="531">
        <f t="shared" si="9"/>
        <v>5.7751760536718133E-5</v>
      </c>
      <c r="N41" s="532">
        <f t="shared" si="10"/>
        <v>198.72907574000004</v>
      </c>
      <c r="O41" s="533">
        <f t="shared" si="4"/>
        <v>5.9361020876186705E-3</v>
      </c>
      <c r="P41" s="533">
        <f t="shared" si="11"/>
        <v>4.0959104404568832E-4</v>
      </c>
      <c r="Q41" s="532">
        <f t="shared" si="12"/>
        <v>198.72907574000004</v>
      </c>
      <c r="R41" s="534">
        <f t="shared" si="5"/>
        <v>5.9843124510749459E-3</v>
      </c>
      <c r="S41" s="533">
        <f t="shared" si="13"/>
        <v>5.3858812059674516E-4</v>
      </c>
      <c r="T41" s="532">
        <f t="shared" si="14"/>
        <v>198.72907574000004</v>
      </c>
      <c r="U41" s="534">
        <f t="shared" si="6"/>
        <v>5.5428931513097687E-3</v>
      </c>
      <c r="V41" s="533">
        <f t="shared" si="15"/>
        <v>7.4662770748142591E-4</v>
      </c>
      <c r="W41" s="533"/>
      <c r="X41" s="535">
        <v>6.9000000000000006E-2</v>
      </c>
      <c r="Y41" s="535">
        <v>0.09</v>
      </c>
      <c r="Z41" s="535">
        <v>0.13470000000000001</v>
      </c>
    </row>
    <row r="42" spans="1:26" ht="14.5">
      <c r="A42" s="509">
        <v>38</v>
      </c>
      <c r="B42" s="524" t="s">
        <v>601</v>
      </c>
      <c r="C42" s="525" t="s">
        <v>602</v>
      </c>
      <c r="D42" s="526">
        <v>41.6</v>
      </c>
      <c r="E42" s="527">
        <v>1.1000000000000001</v>
      </c>
      <c r="F42" s="101">
        <f t="shared" si="7"/>
        <v>2.6442307692307692E-2</v>
      </c>
      <c r="G42" s="102">
        <f t="shared" si="0"/>
        <v>0.12025000000000001</v>
      </c>
      <c r="H42" s="102">
        <f t="shared" si="1"/>
        <v>8.5000000000000006E-2</v>
      </c>
      <c r="I42" s="102">
        <f t="shared" si="2"/>
        <v>0.1002</v>
      </c>
      <c r="J42" s="528">
        <v>7531.8760000000002</v>
      </c>
      <c r="K42" s="529">
        <f t="shared" si="8"/>
        <v>313.3260416</v>
      </c>
      <c r="L42" s="530">
        <f t="shared" si="3"/>
        <v>7.6870397811192844E-3</v>
      </c>
      <c r="M42" s="531">
        <f t="shared" si="9"/>
        <v>2.0326307113536569E-4</v>
      </c>
      <c r="N42" s="532">
        <f t="shared" si="10"/>
        <v>313.3260416</v>
      </c>
      <c r="O42" s="533">
        <f t="shared" si="4"/>
        <v>9.359150706665759E-3</v>
      </c>
      <c r="P42" s="533">
        <f t="shared" si="11"/>
        <v>1.1254378724765575E-3</v>
      </c>
      <c r="Q42" s="532">
        <f t="shared" si="12"/>
        <v>313.3260416</v>
      </c>
      <c r="R42" s="534">
        <f t="shared" si="5"/>
        <v>9.4351615384456779E-3</v>
      </c>
      <c r="S42" s="533">
        <f t="shared" si="13"/>
        <v>8.0198873076788263E-4</v>
      </c>
      <c r="T42" s="532">
        <f t="shared" si="14"/>
        <v>313.3260416</v>
      </c>
      <c r="U42" s="534">
        <f t="shared" si="6"/>
        <v>8.7391981452368383E-3</v>
      </c>
      <c r="V42" s="533">
        <f t="shared" si="15"/>
        <v>8.7566765415273123E-4</v>
      </c>
      <c r="W42" s="533"/>
      <c r="X42" s="535">
        <v>0.12025000000000001</v>
      </c>
      <c r="Y42" s="535">
        <v>8.5000000000000006E-2</v>
      </c>
      <c r="Z42" s="535">
        <v>0.1002</v>
      </c>
    </row>
    <row r="43" spans="1:26" ht="14.5">
      <c r="A43" s="509">
        <v>39</v>
      </c>
      <c r="B43" s="524" t="s">
        <v>603</v>
      </c>
      <c r="C43" s="525" t="s">
        <v>604</v>
      </c>
      <c r="D43" s="526">
        <v>51.78</v>
      </c>
      <c r="E43" s="527">
        <v>0.8</v>
      </c>
      <c r="F43" s="101">
        <f t="shared" si="7"/>
        <v>1.544998068752414E-2</v>
      </c>
      <c r="G43" s="102">
        <f t="shared" si="0"/>
        <v>0.113</v>
      </c>
      <c r="H43" s="102">
        <f t="shared" si="1"/>
        <v>8.5000000000000006E-2</v>
      </c>
      <c r="I43" s="102">
        <f t="shared" si="2"/>
        <v>9.7200000000000009E-2</v>
      </c>
      <c r="J43" s="528">
        <v>277.41800000000001</v>
      </c>
      <c r="K43" s="529">
        <f t="shared" si="8"/>
        <v>14.364704040000001</v>
      </c>
      <c r="L43" s="530">
        <f t="shared" si="3"/>
        <v>3.52419003653876E-4</v>
      </c>
      <c r="M43" s="531">
        <f t="shared" si="9"/>
        <v>5.4448668003688837E-6</v>
      </c>
      <c r="N43" s="532">
        <f t="shared" si="10"/>
        <v>14.364704040000001</v>
      </c>
      <c r="O43" s="533">
        <f t="shared" si="4"/>
        <v>4.2907837880466331E-4</v>
      </c>
      <c r="P43" s="533">
        <f t="shared" si="11"/>
        <v>4.8485856804926955E-5</v>
      </c>
      <c r="Q43" s="532">
        <f t="shared" si="12"/>
        <v>14.364704040000001</v>
      </c>
      <c r="R43" s="534">
        <f t="shared" si="5"/>
        <v>4.3256316129122946E-4</v>
      </c>
      <c r="S43" s="533">
        <f t="shared" si="13"/>
        <v>3.6767868709754504E-5</v>
      </c>
      <c r="T43" s="532">
        <f t="shared" si="14"/>
        <v>14.364704040000001</v>
      </c>
      <c r="U43" s="534">
        <f t="shared" si="6"/>
        <v>4.0065611610893989E-4</v>
      </c>
      <c r="V43" s="533">
        <f t="shared" si="15"/>
        <v>3.8943774485788961E-5</v>
      </c>
      <c r="W43" s="533"/>
      <c r="X43" s="535">
        <v>0.113</v>
      </c>
      <c r="Y43" s="535">
        <v>8.5000000000000006E-2</v>
      </c>
      <c r="Z43" s="535">
        <v>9.7200000000000009E-2</v>
      </c>
    </row>
    <row r="44" spans="1:26" ht="14.5">
      <c r="A44" s="509">
        <v>40</v>
      </c>
      <c r="B44" s="524" t="s">
        <v>605</v>
      </c>
      <c r="C44" s="525" t="s">
        <v>606</v>
      </c>
      <c r="D44" s="526">
        <v>31.2</v>
      </c>
      <c r="E44" s="527">
        <v>0.68</v>
      </c>
      <c r="F44" s="101">
        <f t="shared" si="7"/>
        <v>2.1794871794871797E-2</v>
      </c>
      <c r="G44" s="102">
        <f t="shared" si="0"/>
        <v>0.155</v>
      </c>
      <c r="H44" s="102">
        <f t="shared" si="1"/>
        <v>5.0000000000000001E-3</v>
      </c>
      <c r="I44" s="102">
        <f t="shared" si="2"/>
        <v>0.13589999999999999</v>
      </c>
      <c r="J44" s="528">
        <v>513.17499999999995</v>
      </c>
      <c r="K44" s="529">
        <f t="shared" si="8"/>
        <v>16.011059999999997</v>
      </c>
      <c r="L44" s="530">
        <f t="shared" si="3"/>
        <v>3.9281016837729616E-4</v>
      </c>
      <c r="M44" s="531">
        <f t="shared" si="9"/>
        <v>8.5612472595051729E-6</v>
      </c>
      <c r="N44" s="532">
        <f t="shared" si="10"/>
        <v>16.011059999999997</v>
      </c>
      <c r="O44" s="533">
        <f t="shared" si="4"/>
        <v>4.7825556646443728E-4</v>
      </c>
      <c r="P44" s="533">
        <f t="shared" si="11"/>
        <v>7.4129612801987778E-5</v>
      </c>
      <c r="Q44" s="532">
        <f t="shared" si="12"/>
        <v>16.011059999999997</v>
      </c>
      <c r="R44" s="534">
        <f t="shared" si="5"/>
        <v>4.821397440516672E-4</v>
      </c>
      <c r="S44" s="533">
        <f t="shared" si="13"/>
        <v>2.4106987202583362E-6</v>
      </c>
      <c r="T44" s="532">
        <f t="shared" si="14"/>
        <v>16.011059999999997</v>
      </c>
      <c r="U44" s="534">
        <f t="shared" si="6"/>
        <v>4.4657579414961629E-4</v>
      </c>
      <c r="V44" s="533">
        <f t="shared" si="15"/>
        <v>6.0689650424932854E-5</v>
      </c>
      <c r="W44" s="533"/>
      <c r="X44" s="535">
        <v>0.155</v>
      </c>
      <c r="Y44" s="535">
        <v>5.0000000000000001E-3</v>
      </c>
      <c r="Z44" s="535">
        <v>0.13589999999999999</v>
      </c>
    </row>
    <row r="45" spans="1:26" ht="14.5">
      <c r="A45" s="509">
        <v>41</v>
      </c>
      <c r="B45" s="524" t="s">
        <v>607</v>
      </c>
      <c r="C45" s="525" t="s">
        <v>608</v>
      </c>
      <c r="D45" s="526">
        <v>69.42</v>
      </c>
      <c r="E45" s="527">
        <v>3.8</v>
      </c>
      <c r="F45" s="101">
        <f t="shared" si="7"/>
        <v>5.4739268222414289E-2</v>
      </c>
      <c r="G45" s="102">
        <f t="shared" si="0"/>
        <v>4.7E-2</v>
      </c>
      <c r="H45" s="102">
        <f t="shared" si="1"/>
        <v>0.03</v>
      </c>
      <c r="I45" s="102">
        <f t="shared" si="2"/>
        <v>6.8900000000000003E-2</v>
      </c>
      <c r="J45" s="528">
        <v>211.68600000000001</v>
      </c>
      <c r="K45" s="529">
        <f t="shared" si="8"/>
        <v>14.695242120000001</v>
      </c>
      <c r="L45" s="530">
        <f t="shared" si="3"/>
        <v>3.6052831801906533E-4</v>
      </c>
      <c r="M45" s="531">
        <f t="shared" si="9"/>
        <v>1.9735056301821495E-5</v>
      </c>
      <c r="N45" s="532">
        <f t="shared" si="10"/>
        <v>14.695242120000001</v>
      </c>
      <c r="O45" s="533">
        <f t="shared" si="4"/>
        <v>4.3895165869296972E-4</v>
      </c>
      <c r="P45" s="533">
        <f t="shared" si="11"/>
        <v>2.0630727958569578E-5</v>
      </c>
      <c r="Q45" s="532">
        <f t="shared" si="12"/>
        <v>14.695242120000001</v>
      </c>
      <c r="R45" s="534">
        <f t="shared" si="5"/>
        <v>4.4251662753834421E-4</v>
      </c>
      <c r="S45" s="533">
        <f t="shared" si="13"/>
        <v>1.3275498826150325E-5</v>
      </c>
      <c r="T45" s="532">
        <f t="shared" si="14"/>
        <v>14.695242120000001</v>
      </c>
      <c r="U45" s="534">
        <f t="shared" si="6"/>
        <v>4.0987538738596275E-4</v>
      </c>
      <c r="V45" s="533">
        <f t="shared" si="15"/>
        <v>2.8240414190892834E-5</v>
      </c>
      <c r="W45" s="533"/>
      <c r="X45" s="535">
        <v>4.7E-2</v>
      </c>
      <c r="Y45" s="535">
        <v>0.03</v>
      </c>
      <c r="Z45" s="535">
        <v>6.8900000000000003E-2</v>
      </c>
    </row>
    <row r="46" spans="1:26" ht="14.5">
      <c r="A46" s="509">
        <v>42</v>
      </c>
      <c r="B46" s="524" t="s">
        <v>609</v>
      </c>
      <c r="C46" s="525" t="s">
        <v>359</v>
      </c>
      <c r="D46" s="526">
        <v>167.95</v>
      </c>
      <c r="E46" s="527">
        <v>4.24</v>
      </c>
      <c r="F46" s="101">
        <f t="shared" si="7"/>
        <v>2.5245608812146474E-2</v>
      </c>
      <c r="G46" s="102">
        <f t="shared" si="0"/>
        <v>8.900000000000001E-2</v>
      </c>
      <c r="H46" s="102">
        <f t="shared" si="1"/>
        <v>7.4999999999999997E-2</v>
      </c>
      <c r="I46" s="102">
        <f t="shared" si="2"/>
        <v>9.3299999999999994E-2</v>
      </c>
      <c r="J46" s="528">
        <v>286.60700000000003</v>
      </c>
      <c r="K46" s="529">
        <f t="shared" si="8"/>
        <v>48.135645650000001</v>
      </c>
      <c r="L46" s="530">
        <f t="shared" si="3"/>
        <v>1.1809443642536077E-3</v>
      </c>
      <c r="M46" s="531">
        <f t="shared" si="9"/>
        <v>2.9813659448855593E-5</v>
      </c>
      <c r="N46" s="532">
        <f t="shared" si="10"/>
        <v>48.135645650000001</v>
      </c>
      <c r="O46" s="533">
        <f t="shared" si="4"/>
        <v>1.4378273816644358E-3</v>
      </c>
      <c r="P46" s="533">
        <f t="shared" si="11"/>
        <v>1.2796663696813479E-4</v>
      </c>
      <c r="Q46" s="532">
        <f t="shared" si="12"/>
        <v>48.135645650000001</v>
      </c>
      <c r="R46" s="534">
        <f t="shared" si="5"/>
        <v>1.4495047719172093E-3</v>
      </c>
      <c r="S46" s="533">
        <f t="shared" si="13"/>
        <v>1.087128578937907E-4</v>
      </c>
      <c r="T46" s="532">
        <f t="shared" si="14"/>
        <v>48.135645650000001</v>
      </c>
      <c r="U46" s="534">
        <f t="shared" si="6"/>
        <v>1.3425853243353831E-3</v>
      </c>
      <c r="V46" s="533">
        <f t="shared" si="15"/>
        <v>1.2526321076049122E-4</v>
      </c>
      <c r="W46" s="533"/>
      <c r="X46" s="535">
        <v>8.900000000000001E-2</v>
      </c>
      <c r="Y46" s="535">
        <v>7.4999999999999997E-2</v>
      </c>
      <c r="Z46" s="535">
        <v>9.3299999999999994E-2</v>
      </c>
    </row>
    <row r="47" spans="1:26" ht="14.5">
      <c r="A47" s="509">
        <v>43</v>
      </c>
      <c r="B47" s="524" t="s">
        <v>610</v>
      </c>
      <c r="C47" s="525" t="s">
        <v>611</v>
      </c>
      <c r="D47" s="526">
        <v>20.84</v>
      </c>
      <c r="E47" s="527">
        <v>1.28</v>
      </c>
      <c r="F47" s="101">
        <f t="shared" si="7"/>
        <v>6.1420345489443383E-2</v>
      </c>
      <c r="G47" s="102">
        <f t="shared" si="0"/>
        <v>6.9900000000000004E-2</v>
      </c>
      <c r="H47" s="102">
        <f t="shared" si="1"/>
        <v>0.04</v>
      </c>
      <c r="I47" s="102">
        <f t="shared" si="2"/>
        <v>3.5799999999999998E-2</v>
      </c>
      <c r="J47" s="528">
        <v>525.52099999999996</v>
      </c>
      <c r="K47" s="529">
        <f t="shared" si="8"/>
        <v>10.951857639999998</v>
      </c>
      <c r="L47" s="530">
        <f t="shared" si="3"/>
        <v>2.6868933372384946E-4</v>
      </c>
      <c r="M47" s="531">
        <f t="shared" si="9"/>
        <v>1.6502991706647184E-5</v>
      </c>
      <c r="N47" s="532">
        <f t="shared" si="10"/>
        <v>10.951857639999998</v>
      </c>
      <c r="O47" s="533">
        <f t="shared" si="4"/>
        <v>3.2713554751878236E-4</v>
      </c>
      <c r="P47" s="533">
        <f t="shared" si="11"/>
        <v>2.2866774771562889E-5</v>
      </c>
      <c r="Q47" s="532">
        <f t="shared" si="12"/>
        <v>10.951857639999998</v>
      </c>
      <c r="R47" s="534">
        <f t="shared" si="5"/>
        <v>3.2979239597127837E-4</v>
      </c>
      <c r="S47" s="533">
        <f t="shared" si="13"/>
        <v>1.3191695838851135E-5</v>
      </c>
      <c r="T47" s="532">
        <f t="shared" si="14"/>
        <v>10.951857639999998</v>
      </c>
      <c r="U47" s="534">
        <f t="shared" si="6"/>
        <v>3.0546600431180342E-4</v>
      </c>
      <c r="V47" s="533">
        <f t="shared" si="15"/>
        <v>1.0935682954362562E-5</v>
      </c>
      <c r="W47" s="533"/>
      <c r="X47" s="535">
        <v>6.9900000000000004E-2</v>
      </c>
      <c r="Y47" s="535">
        <v>0.04</v>
      </c>
      <c r="Z47" s="535">
        <v>3.5799999999999998E-2</v>
      </c>
    </row>
    <row r="48" spans="1:26" ht="14.5">
      <c r="A48" s="509">
        <v>44</v>
      </c>
      <c r="B48" s="524" t="s">
        <v>612</v>
      </c>
      <c r="C48" s="525" t="s">
        <v>367</v>
      </c>
      <c r="D48" s="526">
        <v>34.770000000000003</v>
      </c>
      <c r="E48" s="527">
        <v>1</v>
      </c>
      <c r="F48" s="101">
        <f t="shared" si="7"/>
        <v>2.876042565429968E-2</v>
      </c>
      <c r="G48" s="102" t="str">
        <f t="shared" si="0"/>
        <v>NMF</v>
      </c>
      <c r="H48" s="102">
        <f t="shared" si="1"/>
        <v>9.5000000000000001E-2</v>
      </c>
      <c r="I48" s="102" t="str">
        <f t="shared" si="2"/>
        <v>NMF</v>
      </c>
      <c r="J48" s="528">
        <v>303.54000000000002</v>
      </c>
      <c r="K48" s="529">
        <f t="shared" si="8"/>
        <v>10.554085800000003</v>
      </c>
      <c r="L48" s="530">
        <f t="shared" si="3"/>
        <v>2.589305280328993E-4</v>
      </c>
      <c r="M48" s="531">
        <f t="shared" si="9"/>
        <v>7.4469522011187588E-6</v>
      </c>
      <c r="N48" s="532" t="str">
        <f t="shared" si="10"/>
        <v>--</v>
      </c>
      <c r="O48" s="533" t="str">
        <f t="shared" si="4"/>
        <v>--</v>
      </c>
      <c r="P48" s="533" t="str">
        <f t="shared" si="11"/>
        <v>--</v>
      </c>
      <c r="Q48" s="532">
        <f t="shared" si="12"/>
        <v>10.554085800000003</v>
      </c>
      <c r="R48" s="534">
        <f t="shared" si="5"/>
        <v>3.1781432499230767E-4</v>
      </c>
      <c r="S48" s="533">
        <f t="shared" si="13"/>
        <v>3.019236087426923E-5</v>
      </c>
      <c r="T48" s="532" t="str">
        <f t="shared" si="14"/>
        <v>--</v>
      </c>
      <c r="U48" s="534" t="str">
        <f t="shared" si="6"/>
        <v>--</v>
      </c>
      <c r="V48" s="533" t="str">
        <f t="shared" si="15"/>
        <v>--</v>
      </c>
      <c r="W48" s="533"/>
      <c r="X48" s="535">
        <v>-2.2499999999999999E-2</v>
      </c>
      <c r="Y48" s="535">
        <v>9.5000000000000001E-2</v>
      </c>
      <c r="Z48" s="535" t="s">
        <v>36</v>
      </c>
    </row>
    <row r="49" spans="1:26" ht="14.5">
      <c r="A49" s="509">
        <v>45</v>
      </c>
      <c r="B49" s="524" t="s">
        <v>613</v>
      </c>
      <c r="C49" s="525" t="s">
        <v>614</v>
      </c>
      <c r="D49" s="526">
        <v>76.27</v>
      </c>
      <c r="E49" s="527">
        <v>2.8</v>
      </c>
      <c r="F49" s="101">
        <f t="shared" si="7"/>
        <v>3.6711682181722827E-2</v>
      </c>
      <c r="G49" s="102" t="str">
        <f t="shared" si="0"/>
        <v>NMF</v>
      </c>
      <c r="H49" s="102">
        <f t="shared" si="1"/>
        <v>1.4999999999999999E-2</v>
      </c>
      <c r="I49" s="102">
        <f t="shared" si="2"/>
        <v>3.2899999999999999E-2</v>
      </c>
      <c r="J49" s="528">
        <v>133.96799999999999</v>
      </c>
      <c r="K49" s="529">
        <f t="shared" si="8"/>
        <v>10.217739359999998</v>
      </c>
      <c r="L49" s="530">
        <f t="shared" si="3"/>
        <v>2.5067871324177949E-4</v>
      </c>
      <c r="M49" s="531">
        <f t="shared" si="9"/>
        <v>9.2028372502554427E-6</v>
      </c>
      <c r="N49" s="532" t="str">
        <f t="shared" si="10"/>
        <v>--</v>
      </c>
      <c r="O49" s="533" t="str">
        <f t="shared" si="4"/>
        <v>--</v>
      </c>
      <c r="P49" s="533" t="str">
        <f t="shared" si="11"/>
        <v>--</v>
      </c>
      <c r="Q49" s="532">
        <f t="shared" si="12"/>
        <v>10.217739359999998</v>
      </c>
      <c r="R49" s="534">
        <f t="shared" si="5"/>
        <v>3.0768595207419409E-4</v>
      </c>
      <c r="S49" s="533">
        <f t="shared" si="13"/>
        <v>4.6152892811129113E-6</v>
      </c>
      <c r="T49" s="532">
        <f t="shared" si="14"/>
        <v>10.217739359999998</v>
      </c>
      <c r="U49" s="534">
        <f t="shared" si="6"/>
        <v>2.84990192348651E-4</v>
      </c>
      <c r="V49" s="533">
        <f t="shared" si="15"/>
        <v>9.3761773282706177E-6</v>
      </c>
      <c r="W49" s="533"/>
      <c r="X49" s="535">
        <v>-0.03</v>
      </c>
      <c r="Y49" s="535">
        <v>1.4999999999999999E-2</v>
      </c>
      <c r="Z49" s="535">
        <v>3.2899999999999999E-2</v>
      </c>
    </row>
    <row r="50" spans="1:26" ht="14.5">
      <c r="A50" s="509">
        <v>46</v>
      </c>
      <c r="B50" s="524" t="s">
        <v>615</v>
      </c>
      <c r="C50" s="525" t="s">
        <v>616</v>
      </c>
      <c r="D50" s="526">
        <v>85.5</v>
      </c>
      <c r="E50" s="527">
        <v>2.0299999999999998</v>
      </c>
      <c r="F50" s="101">
        <f t="shared" si="7"/>
        <v>2.3742690058479531E-2</v>
      </c>
      <c r="G50" s="102">
        <f t="shared" si="0"/>
        <v>0.12570000000000001</v>
      </c>
      <c r="H50" s="102">
        <f t="shared" si="1"/>
        <v>0.105</v>
      </c>
      <c r="I50" s="102">
        <f t="shared" si="2"/>
        <v>0.12839999999999999</v>
      </c>
      <c r="J50" s="528">
        <v>715.43399999999997</v>
      </c>
      <c r="K50" s="529">
        <f t="shared" si="8"/>
        <v>61.169606999999999</v>
      </c>
      <c r="L50" s="530">
        <f t="shared" si="3"/>
        <v>1.5007153570871035E-3</v>
      </c>
      <c r="M50" s="531">
        <f t="shared" si="9"/>
        <v>3.5631019589319531E-5</v>
      </c>
      <c r="N50" s="532">
        <f t="shared" si="10"/>
        <v>61.169606999999999</v>
      </c>
      <c r="O50" s="533">
        <f t="shared" si="4"/>
        <v>1.8271560437717435E-3</v>
      </c>
      <c r="P50" s="533">
        <f t="shared" si="11"/>
        <v>2.2967351470210817E-4</v>
      </c>
      <c r="Q50" s="532">
        <f t="shared" si="12"/>
        <v>61.169606999999999</v>
      </c>
      <c r="R50" s="534">
        <f t="shared" si="5"/>
        <v>1.8419953871087285E-3</v>
      </c>
      <c r="S50" s="533">
        <f t="shared" si="13"/>
        <v>1.9340951564641648E-4</v>
      </c>
      <c r="T50" s="532">
        <f t="shared" si="14"/>
        <v>61.169606999999999</v>
      </c>
      <c r="U50" s="534">
        <f t="shared" si="6"/>
        <v>1.7061247552532396E-3</v>
      </c>
      <c r="V50" s="533">
        <f t="shared" si="15"/>
        <v>2.1906641857451594E-4</v>
      </c>
      <c r="W50" s="533"/>
      <c r="X50" s="535">
        <v>0.12570000000000001</v>
      </c>
      <c r="Y50" s="535">
        <v>0.105</v>
      </c>
      <c r="Z50" s="535">
        <v>0.12839999999999999</v>
      </c>
    </row>
    <row r="51" spans="1:26" ht="14.5">
      <c r="A51" s="509">
        <v>47</v>
      </c>
      <c r="B51" s="524" t="s">
        <v>1308</v>
      </c>
      <c r="C51" s="525" t="s">
        <v>1309</v>
      </c>
      <c r="D51" s="526">
        <v>5165.2700000000004</v>
      </c>
      <c r="E51" s="527">
        <v>38.4</v>
      </c>
      <c r="F51" s="101">
        <f t="shared" si="7"/>
        <v>7.4342677149500406E-3</v>
      </c>
      <c r="G51" s="102">
        <f t="shared" si="0"/>
        <v>0.15</v>
      </c>
      <c r="H51" s="102">
        <f t="shared" si="1"/>
        <v>0.14000000000000001</v>
      </c>
      <c r="I51" s="102">
        <f t="shared" si="2"/>
        <v>0.1434</v>
      </c>
      <c r="J51" s="528">
        <v>32.54</v>
      </c>
      <c r="K51" s="529">
        <f t="shared" si="8"/>
        <v>168.07788580000002</v>
      </c>
      <c r="L51" s="530">
        <f t="shared" si="3"/>
        <v>4.1235684971262353E-3</v>
      </c>
      <c r="M51" s="531">
        <f t="shared" si="9"/>
        <v>3.0655712148570634E-5</v>
      </c>
      <c r="N51" s="532">
        <f t="shared" si="10"/>
        <v>168.07788580000002</v>
      </c>
      <c r="O51" s="533">
        <f t="shared" si="4"/>
        <v>5.020541081191628E-3</v>
      </c>
      <c r="P51" s="533">
        <f t="shared" si="11"/>
        <v>7.5308116217874413E-4</v>
      </c>
      <c r="Q51" s="532">
        <f t="shared" si="12"/>
        <v>168.07788580000002</v>
      </c>
      <c r="R51" s="534">
        <f t="shared" si="5"/>
        <v>5.0613156680667853E-3</v>
      </c>
      <c r="S51" s="533">
        <f t="shared" si="13"/>
        <v>7.0858419352935005E-4</v>
      </c>
      <c r="T51" s="532">
        <f t="shared" si="14"/>
        <v>168.07788580000002</v>
      </c>
      <c r="U51" s="534">
        <f t="shared" si="6"/>
        <v>4.6879791425504334E-3</v>
      </c>
      <c r="V51" s="533">
        <f t="shared" si="15"/>
        <v>6.7225620904173215E-4</v>
      </c>
      <c r="W51" s="533"/>
      <c r="X51" s="535">
        <v>0.15</v>
      </c>
      <c r="Y51" s="535">
        <v>0.14000000000000001</v>
      </c>
      <c r="Z51" s="535">
        <v>0.1434</v>
      </c>
    </row>
    <row r="52" spans="1:26" ht="14.5">
      <c r="A52" s="509">
        <v>48</v>
      </c>
      <c r="B52" s="524" t="s">
        <v>617</v>
      </c>
      <c r="C52" s="525" t="s">
        <v>618</v>
      </c>
      <c r="D52" s="526">
        <v>36.25</v>
      </c>
      <c r="E52" s="527">
        <v>0.94</v>
      </c>
      <c r="F52" s="101">
        <f t="shared" si="7"/>
        <v>2.593103448275862E-2</v>
      </c>
      <c r="G52" s="102">
        <f t="shared" si="0"/>
        <v>0.1555</v>
      </c>
      <c r="H52" s="102" t="str">
        <f t="shared" si="1"/>
        <v>NMF</v>
      </c>
      <c r="I52" s="102">
        <f t="shared" si="2"/>
        <v>8.8100000000000012E-2</v>
      </c>
      <c r="J52" s="528">
        <v>990.75</v>
      </c>
      <c r="K52" s="529">
        <f t="shared" si="8"/>
        <v>35.914687499999999</v>
      </c>
      <c r="L52" s="530">
        <f t="shared" si="3"/>
        <v>8.8111932901962619E-4</v>
      </c>
      <c r="M52" s="531">
        <f t="shared" si="9"/>
        <v>2.2848335704233064E-5</v>
      </c>
      <c r="N52" s="532">
        <f t="shared" si="10"/>
        <v>35.914687499999999</v>
      </c>
      <c r="O52" s="533">
        <f t="shared" si="4"/>
        <v>1.0727833894011857E-3</v>
      </c>
      <c r="P52" s="533">
        <f t="shared" si="11"/>
        <v>1.6681781705188436E-4</v>
      </c>
      <c r="Q52" s="532" t="str">
        <f t="shared" si="12"/>
        <v>--</v>
      </c>
      <c r="R52" s="534" t="str">
        <f t="shared" si="5"/>
        <v>--</v>
      </c>
      <c r="S52" s="533" t="str">
        <f t="shared" si="13"/>
        <v>--</v>
      </c>
      <c r="T52" s="532">
        <f t="shared" si="14"/>
        <v>35.914687499999999</v>
      </c>
      <c r="U52" s="534">
        <f t="shared" si="6"/>
        <v>1.0017219404553977E-3</v>
      </c>
      <c r="V52" s="533">
        <f t="shared" si="15"/>
        <v>8.8251702954120551E-5</v>
      </c>
      <c r="W52" s="533"/>
      <c r="X52" s="535">
        <v>0.1555</v>
      </c>
      <c r="Y52" s="535">
        <v>0.215</v>
      </c>
      <c r="Z52" s="535">
        <v>8.8100000000000012E-2</v>
      </c>
    </row>
    <row r="53" spans="1:26" ht="14.5">
      <c r="A53" s="509">
        <v>49</v>
      </c>
      <c r="B53" s="524" t="s">
        <v>1310</v>
      </c>
      <c r="C53" s="525" t="s">
        <v>619</v>
      </c>
      <c r="D53" s="526">
        <v>928.64</v>
      </c>
      <c r="E53" s="527">
        <v>21.48</v>
      </c>
      <c r="F53" s="101">
        <f t="shared" si="7"/>
        <v>2.3130599586492075E-2</v>
      </c>
      <c r="G53" s="102">
        <f t="shared" si="0"/>
        <v>9.8400000000000001E-2</v>
      </c>
      <c r="H53" s="102">
        <f t="shared" si="1"/>
        <v>0.11</v>
      </c>
      <c r="I53" s="102">
        <f t="shared" si="2"/>
        <v>7.2900000000000006E-2</v>
      </c>
      <c r="J53" s="528">
        <v>155.02199999999999</v>
      </c>
      <c r="K53" s="529">
        <f t="shared" si="8"/>
        <v>143.95963008000001</v>
      </c>
      <c r="L53" s="530">
        <f t="shared" si="3"/>
        <v>3.53185901066251E-3</v>
      </c>
      <c r="M53" s="531">
        <f t="shared" si="9"/>
        <v>8.1694016571578563E-5</v>
      </c>
      <c r="N53" s="532">
        <f t="shared" si="10"/>
        <v>143.95963008000001</v>
      </c>
      <c r="O53" s="533">
        <f t="shared" si="4"/>
        <v>4.3001209433929585E-3</v>
      </c>
      <c r="P53" s="533">
        <f t="shared" si="11"/>
        <v>4.2313190082986712E-4</v>
      </c>
      <c r="Q53" s="532">
        <f t="shared" si="12"/>
        <v>143.95963008000001</v>
      </c>
      <c r="R53" s="534">
        <f t="shared" si="5"/>
        <v>4.3350446004539311E-3</v>
      </c>
      <c r="S53" s="533">
        <f t="shared" si="13"/>
        <v>4.7685490604993243E-4</v>
      </c>
      <c r="T53" s="532">
        <f t="shared" si="14"/>
        <v>143.95963008000001</v>
      </c>
      <c r="U53" s="534">
        <f t="shared" si="6"/>
        <v>4.0152798208526489E-3</v>
      </c>
      <c r="V53" s="533">
        <f t="shared" si="15"/>
        <v>2.9271389894015815E-4</v>
      </c>
      <c r="W53" s="533"/>
      <c r="X53" s="535">
        <v>9.8400000000000001E-2</v>
      </c>
      <c r="Y53" s="535">
        <v>0.11</v>
      </c>
      <c r="Z53" s="535">
        <v>7.2900000000000006E-2</v>
      </c>
    </row>
    <row r="54" spans="1:26" ht="14.5">
      <c r="A54" s="509">
        <v>50</v>
      </c>
      <c r="B54" s="524" t="s">
        <v>620</v>
      </c>
      <c r="C54" s="525" t="s">
        <v>362</v>
      </c>
      <c r="D54" s="526">
        <v>46.88</v>
      </c>
      <c r="E54" s="527">
        <v>2.48</v>
      </c>
      <c r="F54" s="101">
        <f t="shared" si="7"/>
        <v>5.2901023890784979E-2</v>
      </c>
      <c r="G54" s="102" t="str">
        <f t="shared" si="0"/>
        <v>NMF</v>
      </c>
      <c r="H54" s="102">
        <f t="shared" si="1"/>
        <v>2.5000000000000001E-2</v>
      </c>
      <c r="I54" s="102">
        <f t="shared" si="2"/>
        <v>0.05</v>
      </c>
      <c r="J54" s="528">
        <v>2035.0809999999999</v>
      </c>
      <c r="K54" s="529">
        <f t="shared" si="8"/>
        <v>95.404597280000004</v>
      </c>
      <c r="L54" s="530">
        <f t="shared" si="3"/>
        <v>2.3406255376923787E-3</v>
      </c>
      <c r="M54" s="531">
        <f t="shared" si="9"/>
        <v>1.2382148748884595E-4</v>
      </c>
      <c r="N54" s="532" t="str">
        <f t="shared" si="10"/>
        <v>--</v>
      </c>
      <c r="O54" s="533" t="str">
        <f t="shared" si="4"/>
        <v>--</v>
      </c>
      <c r="P54" s="533" t="str">
        <f t="shared" si="11"/>
        <v>--</v>
      </c>
      <c r="Q54" s="532">
        <f t="shared" si="12"/>
        <v>95.404597280000004</v>
      </c>
      <c r="R54" s="534">
        <f t="shared" si="5"/>
        <v>2.8729108574904847E-3</v>
      </c>
      <c r="S54" s="533">
        <f t="shared" si="13"/>
        <v>7.1822771437262124E-5</v>
      </c>
      <c r="T54" s="532">
        <f t="shared" si="14"/>
        <v>95.404597280000004</v>
      </c>
      <c r="U54" s="534">
        <f t="shared" si="6"/>
        <v>2.6609970730133003E-3</v>
      </c>
      <c r="V54" s="533">
        <f t="shared" si="15"/>
        <v>1.3304985365066501E-4</v>
      </c>
      <c r="W54" s="533"/>
      <c r="X54" s="535">
        <v>0.46466999999999997</v>
      </c>
      <c r="Y54" s="535">
        <v>2.5000000000000001E-2</v>
      </c>
      <c r="Z54" s="535">
        <v>0.05</v>
      </c>
    </row>
    <row r="55" spans="1:26" ht="14.5">
      <c r="A55" s="509">
        <v>51</v>
      </c>
      <c r="B55" s="524" t="s">
        <v>1521</v>
      </c>
      <c r="C55" s="525" t="s">
        <v>1522</v>
      </c>
      <c r="D55" s="526">
        <v>236</v>
      </c>
      <c r="E55" s="527">
        <v>3.52</v>
      </c>
      <c r="F55" s="101">
        <f t="shared" si="7"/>
        <v>1.4915254237288136E-2</v>
      </c>
      <c r="G55" s="102" t="str">
        <f t="shared" si="0"/>
        <v>NMF</v>
      </c>
      <c r="H55" s="102">
        <f t="shared" si="1"/>
        <v>9.5000000000000001E-2</v>
      </c>
      <c r="I55" s="102" t="str">
        <f t="shared" si="2"/>
        <v>NMF</v>
      </c>
      <c r="J55" s="528">
        <v>117.46299999999999</v>
      </c>
      <c r="K55" s="529">
        <f t="shared" si="8"/>
        <v>27.721267999999998</v>
      </c>
      <c r="L55" s="530">
        <f t="shared" si="3"/>
        <v>6.8010462459775639E-4</v>
      </c>
      <c r="M55" s="531">
        <f t="shared" si="9"/>
        <v>1.0143933383830944E-5</v>
      </c>
      <c r="N55" s="532" t="str">
        <f t="shared" si="10"/>
        <v>--</v>
      </c>
      <c r="O55" s="533" t="str">
        <f t="shared" si="4"/>
        <v>--</v>
      </c>
      <c r="P55" s="533" t="str">
        <f t="shared" si="11"/>
        <v>--</v>
      </c>
      <c r="Q55" s="532">
        <f t="shared" si="12"/>
        <v>27.721267999999998</v>
      </c>
      <c r="R55" s="534">
        <f t="shared" si="5"/>
        <v>8.3476828256890388E-4</v>
      </c>
      <c r="S55" s="533">
        <f t="shared" si="13"/>
        <v>7.9302986844045873E-5</v>
      </c>
      <c r="T55" s="532" t="str">
        <f t="shared" si="14"/>
        <v>--</v>
      </c>
      <c r="U55" s="534" t="str">
        <f t="shared" si="6"/>
        <v>--</v>
      </c>
      <c r="V55" s="533" t="str">
        <f t="shared" si="15"/>
        <v>--</v>
      </c>
      <c r="W55" s="533"/>
      <c r="X55" s="535" t="s">
        <v>36</v>
      </c>
      <c r="Y55" s="535">
        <v>9.5000000000000001E-2</v>
      </c>
      <c r="Z55" s="535" t="s">
        <v>36</v>
      </c>
    </row>
    <row r="56" spans="1:26" ht="14.5">
      <c r="A56" s="509">
        <v>52</v>
      </c>
      <c r="B56" s="524" t="s">
        <v>621</v>
      </c>
      <c r="C56" s="525" t="s">
        <v>364</v>
      </c>
      <c r="D56" s="526">
        <v>111.53</v>
      </c>
      <c r="E56" s="527">
        <v>0.64</v>
      </c>
      <c r="F56" s="101">
        <f t="shared" si="7"/>
        <v>5.7383663588272214E-3</v>
      </c>
      <c r="G56" s="102">
        <f t="shared" si="0"/>
        <v>7.9000000000000001E-2</v>
      </c>
      <c r="H56" s="102">
        <f t="shared" si="1"/>
        <v>0.11</v>
      </c>
      <c r="I56" s="102">
        <f t="shared" si="2"/>
        <v>9.4899999999999998E-2</v>
      </c>
      <c r="J56" s="528">
        <v>286.608</v>
      </c>
      <c r="K56" s="529">
        <f t="shared" si="8"/>
        <v>31.965390240000001</v>
      </c>
      <c r="L56" s="530">
        <f t="shared" si="3"/>
        <v>7.8422854716804393E-4</v>
      </c>
      <c r="M56" s="531">
        <f t="shared" si="9"/>
        <v>4.5001907127010501E-6</v>
      </c>
      <c r="N56" s="532">
        <f t="shared" si="10"/>
        <v>31.965390240000001</v>
      </c>
      <c r="O56" s="533">
        <f t="shared" si="4"/>
        <v>9.5481659655812911E-4</v>
      </c>
      <c r="P56" s="533">
        <f t="shared" si="11"/>
        <v>7.5430511128092204E-5</v>
      </c>
      <c r="Q56" s="532">
        <f t="shared" si="12"/>
        <v>31.965390240000001</v>
      </c>
      <c r="R56" s="534">
        <f t="shared" si="5"/>
        <v>9.6257118946686013E-4</v>
      </c>
      <c r="S56" s="533">
        <f t="shared" si="13"/>
        <v>1.0588283084135462E-4</v>
      </c>
      <c r="T56" s="532">
        <f t="shared" si="14"/>
        <v>31.965390240000001</v>
      </c>
      <c r="U56" s="534">
        <f t="shared" si="6"/>
        <v>8.9156929845559242E-4</v>
      </c>
      <c r="V56" s="533">
        <f t="shared" si="15"/>
        <v>8.4609926423435716E-5</v>
      </c>
      <c r="W56" s="533"/>
      <c r="X56" s="535">
        <v>7.9000000000000001E-2</v>
      </c>
      <c r="Y56" s="535">
        <v>0.11</v>
      </c>
      <c r="Z56" s="535">
        <v>9.4899999999999998E-2</v>
      </c>
    </row>
    <row r="57" spans="1:26" ht="14.5">
      <c r="A57" s="509">
        <v>53</v>
      </c>
      <c r="B57" s="524" t="s">
        <v>622</v>
      </c>
      <c r="C57" s="525" t="s">
        <v>623</v>
      </c>
      <c r="D57" s="526">
        <v>139.81</v>
      </c>
      <c r="E57" s="527">
        <v>5.76</v>
      </c>
      <c r="F57" s="101">
        <f t="shared" si="7"/>
        <v>4.1198769758958587E-2</v>
      </c>
      <c r="G57" s="102" t="str">
        <f t="shared" si="0"/>
        <v>NMF</v>
      </c>
      <c r="H57" s="102" t="str">
        <f t="shared" si="1"/>
        <v>NMF</v>
      </c>
      <c r="I57" s="102" t="str">
        <f t="shared" si="2"/>
        <v>NMF</v>
      </c>
      <c r="J57" s="528">
        <v>1213.2260000000001</v>
      </c>
      <c r="K57" s="529">
        <f t="shared" si="8"/>
        <v>169.62112706000002</v>
      </c>
      <c r="L57" s="530">
        <f t="shared" si="3"/>
        <v>4.161429879145126E-3</v>
      </c>
      <c r="M57" s="531">
        <f t="shared" si="9"/>
        <v>1.7144579145895089E-4</v>
      </c>
      <c r="N57" s="532" t="str">
        <f t="shared" si="10"/>
        <v>--</v>
      </c>
      <c r="O57" s="533" t="str">
        <f t="shared" si="4"/>
        <v>--</v>
      </c>
      <c r="P57" s="533" t="str">
        <f t="shared" si="11"/>
        <v>--</v>
      </c>
      <c r="Q57" s="532" t="str">
        <f t="shared" si="12"/>
        <v>--</v>
      </c>
      <c r="R57" s="534" t="str">
        <f t="shared" si="5"/>
        <v>--</v>
      </c>
      <c r="S57" s="533" t="str">
        <f t="shared" si="13"/>
        <v>--</v>
      </c>
      <c r="T57" s="532" t="str">
        <f t="shared" si="14"/>
        <v>--</v>
      </c>
      <c r="U57" s="534" t="str">
        <f t="shared" si="6"/>
        <v>--</v>
      </c>
      <c r="V57" s="533" t="str">
        <f t="shared" si="15"/>
        <v>--</v>
      </c>
      <c r="W57" s="533"/>
      <c r="X57" s="535">
        <v>0.21940000000000001</v>
      </c>
      <c r="Y57" s="535">
        <v>0.26</v>
      </c>
      <c r="Z57" s="535">
        <v>0.22270000000000001</v>
      </c>
    </row>
    <row r="58" spans="1:26" ht="14.5">
      <c r="A58" s="509">
        <v>54</v>
      </c>
      <c r="B58" s="524" t="s">
        <v>1311</v>
      </c>
      <c r="C58" s="525" t="s">
        <v>624</v>
      </c>
      <c r="D58" s="526">
        <v>63.54</v>
      </c>
      <c r="E58" s="527">
        <v>3.92</v>
      </c>
      <c r="F58" s="101">
        <f t="shared" si="7"/>
        <v>6.1693421466792568E-2</v>
      </c>
      <c r="G58" s="102" t="str">
        <f t="shared" si="0"/>
        <v>NMF</v>
      </c>
      <c r="H58" s="102">
        <f t="shared" si="1"/>
        <v>1.4999999999999999E-2</v>
      </c>
      <c r="I58" s="102">
        <f t="shared" si="2"/>
        <v>1.3300000000000001E-2</v>
      </c>
      <c r="J58" s="528">
        <v>158.32499999999999</v>
      </c>
      <c r="K58" s="529">
        <f t="shared" si="8"/>
        <v>10.059970499999999</v>
      </c>
      <c r="L58" s="530">
        <f t="shared" si="3"/>
        <v>2.4680806304989381E-4</v>
      </c>
      <c r="M58" s="531">
        <f t="shared" si="9"/>
        <v>1.5226433855139812E-5</v>
      </c>
      <c r="N58" s="532" t="str">
        <f t="shared" si="10"/>
        <v>--</v>
      </c>
      <c r="O58" s="533" t="str">
        <f t="shared" si="4"/>
        <v>--</v>
      </c>
      <c r="P58" s="533" t="str">
        <f t="shared" si="11"/>
        <v>--</v>
      </c>
      <c r="Q58" s="532">
        <f t="shared" si="12"/>
        <v>10.059970499999999</v>
      </c>
      <c r="R58" s="534">
        <f t="shared" si="5"/>
        <v>3.0293507125932467E-4</v>
      </c>
      <c r="S58" s="533">
        <f t="shared" si="13"/>
        <v>4.5440260688898701E-6</v>
      </c>
      <c r="T58" s="532">
        <f t="shared" si="14"/>
        <v>10.059970499999999</v>
      </c>
      <c r="U58" s="534">
        <f t="shared" si="6"/>
        <v>2.8058974953308608E-4</v>
      </c>
      <c r="V58" s="533">
        <f t="shared" si="15"/>
        <v>3.731843668790045E-6</v>
      </c>
      <c r="W58" s="533"/>
      <c r="X58" s="535">
        <v>0.20559999999999998</v>
      </c>
      <c r="Y58" s="535">
        <v>1.4999999999999999E-2</v>
      </c>
      <c r="Z58" s="535">
        <v>1.3300000000000001E-2</v>
      </c>
    </row>
    <row r="59" spans="1:26" ht="14.5">
      <c r="A59" s="509">
        <v>55</v>
      </c>
      <c r="B59" s="524" t="s">
        <v>625</v>
      </c>
      <c r="C59" s="525" t="s">
        <v>137</v>
      </c>
      <c r="D59" s="526">
        <v>71.64</v>
      </c>
      <c r="E59" s="527">
        <v>2.33</v>
      </c>
      <c r="F59" s="101">
        <f t="shared" si="7"/>
        <v>3.2523729759910663E-2</v>
      </c>
      <c r="G59" s="102" t="str">
        <f t="shared" si="0"/>
        <v>NMF</v>
      </c>
      <c r="H59" s="102">
        <f t="shared" si="1"/>
        <v>0.03</v>
      </c>
      <c r="I59" s="102">
        <f t="shared" si="2"/>
        <v>0.17550000000000002</v>
      </c>
      <c r="J59" s="528">
        <v>1882.16</v>
      </c>
      <c r="K59" s="529">
        <f t="shared" si="8"/>
        <v>134.8379424</v>
      </c>
      <c r="L59" s="530">
        <f t="shared" si="3"/>
        <v>3.3080704748962388E-3</v>
      </c>
      <c r="M59" s="531">
        <f t="shared" si="9"/>
        <v>1.075907901522646E-4</v>
      </c>
      <c r="N59" s="532" t="str">
        <f t="shared" si="10"/>
        <v>--</v>
      </c>
      <c r="O59" s="533" t="str">
        <f t="shared" si="4"/>
        <v>--</v>
      </c>
      <c r="P59" s="533" t="str">
        <f t="shared" si="11"/>
        <v>--</v>
      </c>
      <c r="Q59" s="532">
        <f t="shared" si="12"/>
        <v>134.8379424</v>
      </c>
      <c r="R59" s="534">
        <f t="shared" si="5"/>
        <v>4.060363963234755E-3</v>
      </c>
      <c r="S59" s="533">
        <f t="shared" si="13"/>
        <v>1.2181091889704265E-4</v>
      </c>
      <c r="T59" s="532">
        <f t="shared" si="14"/>
        <v>134.8379424</v>
      </c>
      <c r="U59" s="534">
        <f t="shared" si="6"/>
        <v>3.7608603808105294E-3</v>
      </c>
      <c r="V59" s="533">
        <f t="shared" si="15"/>
        <v>6.6003099683224797E-4</v>
      </c>
      <c r="W59" s="533"/>
      <c r="X59" s="535" t="s">
        <v>36</v>
      </c>
      <c r="Y59" s="535">
        <v>0.03</v>
      </c>
      <c r="Z59" s="535">
        <v>0.17550000000000002</v>
      </c>
    </row>
    <row r="60" spans="1:26" ht="14.5">
      <c r="A60" s="509">
        <v>56</v>
      </c>
      <c r="B60" s="524" t="s">
        <v>626</v>
      </c>
      <c r="C60" s="525" t="s">
        <v>627</v>
      </c>
      <c r="D60" s="526">
        <v>23.22</v>
      </c>
      <c r="E60" s="527">
        <v>1.46</v>
      </c>
      <c r="F60" s="101">
        <f t="shared" si="7"/>
        <v>6.2876830318690791E-2</v>
      </c>
      <c r="G60" s="102" t="str">
        <f t="shared" si="0"/>
        <v>NMF</v>
      </c>
      <c r="H60" s="102">
        <f t="shared" si="1"/>
        <v>2.5000000000000001E-2</v>
      </c>
      <c r="I60" s="102">
        <f t="shared" si="2"/>
        <v>0.06</v>
      </c>
      <c r="J60" s="528">
        <v>477.36200000000002</v>
      </c>
      <c r="K60" s="529">
        <f t="shared" si="8"/>
        <v>11.084345639999999</v>
      </c>
      <c r="L60" s="530">
        <f t="shared" si="3"/>
        <v>2.7193975147182938E-4</v>
      </c>
      <c r="M60" s="531">
        <f t="shared" si="9"/>
        <v>1.709870961020116E-5</v>
      </c>
      <c r="N60" s="532" t="str">
        <f t="shared" si="10"/>
        <v>--</v>
      </c>
      <c r="O60" s="533" t="str">
        <f t="shared" si="4"/>
        <v>--</v>
      </c>
      <c r="P60" s="533" t="str">
        <f t="shared" si="11"/>
        <v>--</v>
      </c>
      <c r="Q60" s="532">
        <f t="shared" si="12"/>
        <v>11.084345639999999</v>
      </c>
      <c r="R60" s="534">
        <f t="shared" si="5"/>
        <v>3.3378199631066364E-4</v>
      </c>
      <c r="S60" s="533">
        <f t="shared" si="13"/>
        <v>8.3445499077665921E-6</v>
      </c>
      <c r="T60" s="532">
        <f t="shared" si="14"/>
        <v>11.084345639999999</v>
      </c>
      <c r="U60" s="534">
        <f t="shared" si="6"/>
        <v>3.0916132078774529E-4</v>
      </c>
      <c r="V60" s="533">
        <f t="shared" si="15"/>
        <v>1.8549679247264715E-5</v>
      </c>
      <c r="W60" s="533"/>
      <c r="X60" s="535">
        <v>-1.473E-2</v>
      </c>
      <c r="Y60" s="535">
        <v>2.5000000000000001E-2</v>
      </c>
      <c r="Z60" s="535">
        <v>0.06</v>
      </c>
    </row>
    <row r="61" spans="1:26" ht="14.5">
      <c r="A61" s="509">
        <v>57</v>
      </c>
      <c r="B61" s="524" t="s">
        <v>1523</v>
      </c>
      <c r="C61" s="525" t="s">
        <v>1524</v>
      </c>
      <c r="D61" s="526">
        <v>147.27000000000001</v>
      </c>
      <c r="E61" s="527">
        <v>2.02</v>
      </c>
      <c r="F61" s="101">
        <f t="shared" si="7"/>
        <v>1.3716303388334352E-2</v>
      </c>
      <c r="G61" s="102">
        <f t="shared" si="0"/>
        <v>9.4670000000000004E-2</v>
      </c>
      <c r="H61" s="102">
        <f t="shared" si="1"/>
        <v>0.08</v>
      </c>
      <c r="I61" s="102">
        <f t="shared" si="2"/>
        <v>9.69E-2</v>
      </c>
      <c r="J61" s="528">
        <v>238.67699999999999</v>
      </c>
      <c r="K61" s="529">
        <f t="shared" si="8"/>
        <v>35.149961789999999</v>
      </c>
      <c r="L61" s="530">
        <f t="shared" si="3"/>
        <v>8.6235779574777866E-4</v>
      </c>
      <c r="M61" s="531">
        <f t="shared" si="9"/>
        <v>1.1828361155771799E-5</v>
      </c>
      <c r="N61" s="532">
        <f t="shared" si="10"/>
        <v>35.149961789999999</v>
      </c>
      <c r="O61" s="533">
        <f t="shared" si="4"/>
        <v>1.049940783875632E-3</v>
      </c>
      <c r="P61" s="533">
        <f t="shared" si="11"/>
        <v>9.9397894009506084E-5</v>
      </c>
      <c r="Q61" s="532">
        <f t="shared" si="12"/>
        <v>35.149961789999999</v>
      </c>
      <c r="R61" s="534">
        <f t="shared" si="5"/>
        <v>1.0584679328449512E-3</v>
      </c>
      <c r="S61" s="533">
        <f t="shared" si="13"/>
        <v>8.4677434627596096E-5</v>
      </c>
      <c r="T61" s="532">
        <f t="shared" si="14"/>
        <v>35.149961789999999</v>
      </c>
      <c r="U61" s="534">
        <f t="shared" si="6"/>
        <v>9.8039243502291056E-4</v>
      </c>
      <c r="V61" s="533">
        <f t="shared" si="15"/>
        <v>9.5000026953720036E-5</v>
      </c>
      <c r="W61" s="533"/>
      <c r="X61" s="535">
        <v>9.4670000000000004E-2</v>
      </c>
      <c r="Y61" s="535">
        <v>0.08</v>
      </c>
      <c r="Z61" s="535">
        <v>9.69E-2</v>
      </c>
    </row>
    <row r="62" spans="1:26" ht="14.5">
      <c r="A62" s="509">
        <v>58</v>
      </c>
      <c r="B62" s="524" t="s">
        <v>628</v>
      </c>
      <c r="C62" s="525" t="s">
        <v>629</v>
      </c>
      <c r="D62" s="526">
        <v>70.5</v>
      </c>
      <c r="E62" s="527">
        <v>0.9</v>
      </c>
      <c r="F62" s="101">
        <f t="shared" si="7"/>
        <v>1.2765957446808512E-2</v>
      </c>
      <c r="G62" s="102">
        <f t="shared" si="0"/>
        <v>0.12265000000000001</v>
      </c>
      <c r="H62" s="102">
        <f t="shared" si="1"/>
        <v>0.115</v>
      </c>
      <c r="I62" s="102">
        <f t="shared" si="2"/>
        <v>0.1128</v>
      </c>
      <c r="J62" s="528">
        <v>857.31</v>
      </c>
      <c r="K62" s="529">
        <f t="shared" si="8"/>
        <v>60.440354999999997</v>
      </c>
      <c r="L62" s="530">
        <f t="shared" si="3"/>
        <v>1.482824124344894E-3</v>
      </c>
      <c r="M62" s="531">
        <f t="shared" si="9"/>
        <v>1.892966967248801E-5</v>
      </c>
      <c r="N62" s="532">
        <f t="shared" si="10"/>
        <v>60.440354999999997</v>
      </c>
      <c r="O62" s="533">
        <f t="shared" si="4"/>
        <v>1.8053730494943299E-3</v>
      </c>
      <c r="P62" s="533">
        <f t="shared" si="11"/>
        <v>2.214290045204796E-4</v>
      </c>
      <c r="Q62" s="532">
        <f t="shared" si="12"/>
        <v>60.440354999999997</v>
      </c>
      <c r="R62" s="534">
        <f t="shared" si="5"/>
        <v>1.8200354811044308E-3</v>
      </c>
      <c r="S62" s="533">
        <f t="shared" si="13"/>
        <v>2.0930408032700956E-4</v>
      </c>
      <c r="T62" s="532">
        <f t="shared" si="14"/>
        <v>60.440354999999997</v>
      </c>
      <c r="U62" s="534">
        <f t="shared" si="6"/>
        <v>1.6857846721459876E-3</v>
      </c>
      <c r="V62" s="533">
        <f t="shared" si="15"/>
        <v>1.9015651101806741E-4</v>
      </c>
      <c r="W62" s="533"/>
      <c r="X62" s="535">
        <v>0.12265000000000001</v>
      </c>
      <c r="Y62" s="535">
        <v>0.115</v>
      </c>
      <c r="Z62" s="535">
        <v>0.1128</v>
      </c>
    </row>
    <row r="63" spans="1:26" ht="14.5">
      <c r="A63" s="509">
        <v>59</v>
      </c>
      <c r="B63" s="524" t="s">
        <v>630</v>
      </c>
      <c r="C63" s="525" t="s">
        <v>631</v>
      </c>
      <c r="D63" s="526">
        <v>324.25</v>
      </c>
      <c r="E63" s="527">
        <v>5.64</v>
      </c>
      <c r="F63" s="101">
        <f t="shared" si="7"/>
        <v>1.7393986121819582E-2</v>
      </c>
      <c r="G63" s="102">
        <f t="shared" si="0"/>
        <v>4.5999999999999999E-2</v>
      </c>
      <c r="H63" s="102">
        <f t="shared" si="1"/>
        <v>6.5000000000000002E-2</v>
      </c>
      <c r="I63" s="102">
        <f t="shared" si="2"/>
        <v>8.0299999999999996E-2</v>
      </c>
      <c r="J63" s="528">
        <v>470.315</v>
      </c>
      <c r="K63" s="529">
        <f t="shared" si="8"/>
        <v>152.49963875</v>
      </c>
      <c r="L63" s="530">
        <f t="shared" si="3"/>
        <v>3.7413768217010213E-3</v>
      </c>
      <c r="M63" s="531">
        <f t="shared" si="9"/>
        <v>6.5077456513165026E-5</v>
      </c>
      <c r="N63" s="532">
        <f t="shared" si="10"/>
        <v>152.49963875</v>
      </c>
      <c r="O63" s="533">
        <f t="shared" si="4"/>
        <v>4.5552137782260086E-3</v>
      </c>
      <c r="P63" s="533">
        <f t="shared" si="11"/>
        <v>2.0953983379839639E-4</v>
      </c>
      <c r="Q63" s="532">
        <f t="shared" si="12"/>
        <v>152.49963875</v>
      </c>
      <c r="R63" s="534">
        <f t="shared" si="5"/>
        <v>4.5922091850818577E-3</v>
      </c>
      <c r="S63" s="533">
        <f t="shared" si="13"/>
        <v>2.9849359703032079E-4</v>
      </c>
      <c r="T63" s="532">
        <f t="shared" si="14"/>
        <v>152.49963875</v>
      </c>
      <c r="U63" s="534">
        <f t="shared" si="6"/>
        <v>4.2534752403845131E-3</v>
      </c>
      <c r="V63" s="533">
        <f t="shared" si="15"/>
        <v>3.4155406180287639E-4</v>
      </c>
      <c r="W63" s="533"/>
      <c r="X63" s="535">
        <v>4.5999999999999999E-2</v>
      </c>
      <c r="Y63" s="535">
        <v>6.5000000000000002E-2</v>
      </c>
      <c r="Z63" s="535">
        <v>8.0299999999999996E-2</v>
      </c>
    </row>
    <row r="64" spans="1:26" ht="14.5">
      <c r="A64" s="509">
        <v>60</v>
      </c>
      <c r="B64" s="524" t="s">
        <v>632</v>
      </c>
      <c r="C64" s="525" t="s">
        <v>633</v>
      </c>
      <c r="D64" s="526">
        <v>288.97000000000003</v>
      </c>
      <c r="E64" s="527">
        <v>3.79</v>
      </c>
      <c r="F64" s="101">
        <f t="shared" si="7"/>
        <v>1.3115548326815931E-2</v>
      </c>
      <c r="G64" s="102">
        <f t="shared" si="0"/>
        <v>6.3500000000000001E-2</v>
      </c>
      <c r="H64" s="102">
        <f t="shared" si="1"/>
        <v>0.125</v>
      </c>
      <c r="I64" s="102">
        <f t="shared" si="2"/>
        <v>4.24E-2</v>
      </c>
      <c r="J64" s="528">
        <v>400.726</v>
      </c>
      <c r="K64" s="529">
        <f t="shared" si="8"/>
        <v>115.79779222000002</v>
      </c>
      <c r="L64" s="530">
        <f t="shared" si="3"/>
        <v>2.8409455875911633E-3</v>
      </c>
      <c r="M64" s="531">
        <f t="shared" si="9"/>
        <v>3.7260559147906388E-5</v>
      </c>
      <c r="N64" s="532">
        <f t="shared" si="10"/>
        <v>115.79779222000002</v>
      </c>
      <c r="O64" s="533">
        <f t="shared" si="4"/>
        <v>3.4589176927391019E-3</v>
      </c>
      <c r="P64" s="533">
        <f t="shared" si="11"/>
        <v>2.1964127348893296E-4</v>
      </c>
      <c r="Q64" s="532">
        <f t="shared" si="12"/>
        <v>115.79779222000002</v>
      </c>
      <c r="R64" s="534">
        <f t="shared" si="5"/>
        <v>3.4870094736200452E-3</v>
      </c>
      <c r="S64" s="533">
        <f t="shared" si="13"/>
        <v>4.3587618420250565E-4</v>
      </c>
      <c r="T64" s="532">
        <f t="shared" si="14"/>
        <v>115.79779222000002</v>
      </c>
      <c r="U64" s="534">
        <f t="shared" si="6"/>
        <v>3.2297980909083332E-3</v>
      </c>
      <c r="V64" s="533">
        <f t="shared" si="15"/>
        <v>1.3694343905451333E-4</v>
      </c>
      <c r="W64" s="533"/>
      <c r="X64" s="535">
        <v>6.3500000000000001E-2</v>
      </c>
      <c r="Y64" s="535">
        <v>0.125</v>
      </c>
      <c r="Z64" s="535">
        <v>4.24E-2</v>
      </c>
    </row>
    <row r="65" spans="1:26" ht="14.5">
      <c r="A65" s="509">
        <v>61</v>
      </c>
      <c r="B65" s="524" t="s">
        <v>634</v>
      </c>
      <c r="C65" s="525" t="s">
        <v>635</v>
      </c>
      <c r="D65" s="526">
        <v>228.14</v>
      </c>
      <c r="E65" s="527">
        <v>2.52</v>
      </c>
      <c r="F65" s="101">
        <f t="shared" si="7"/>
        <v>1.1045849040063119E-2</v>
      </c>
      <c r="G65" s="102">
        <f t="shared" si="0"/>
        <v>9.8030000000000006E-2</v>
      </c>
      <c r="H65" s="102">
        <f t="shared" si="1"/>
        <v>0.125</v>
      </c>
      <c r="I65" s="102">
        <f t="shared" si="2"/>
        <v>0.10539999999999999</v>
      </c>
      <c r="J65" s="528">
        <v>104.71299999999999</v>
      </c>
      <c r="K65" s="529">
        <f t="shared" si="8"/>
        <v>23.889223819999994</v>
      </c>
      <c r="L65" s="530">
        <f t="shared" si="3"/>
        <v>5.8609049189354819E-4</v>
      </c>
      <c r="M65" s="531">
        <f t="shared" si="9"/>
        <v>6.4738670972724705E-6</v>
      </c>
      <c r="N65" s="532">
        <f t="shared" si="10"/>
        <v>23.889223819999994</v>
      </c>
      <c r="O65" s="533">
        <f t="shared" si="4"/>
        <v>7.135788805007181E-4</v>
      </c>
      <c r="P65" s="533">
        <f t="shared" si="11"/>
        <v>6.9952137655485396E-5</v>
      </c>
      <c r="Q65" s="532">
        <f t="shared" si="12"/>
        <v>23.889223819999994</v>
      </c>
      <c r="R65" s="534">
        <f t="shared" si="5"/>
        <v>7.1937424868608274E-4</v>
      </c>
      <c r="S65" s="533">
        <f t="shared" si="13"/>
        <v>8.9921781085760343E-5</v>
      </c>
      <c r="T65" s="532">
        <f t="shared" si="14"/>
        <v>23.889223819999994</v>
      </c>
      <c r="U65" s="534">
        <f t="shared" si="6"/>
        <v>6.6631123105118778E-4</v>
      </c>
      <c r="V65" s="533">
        <f t="shared" si="15"/>
        <v>7.0229203752795189E-5</v>
      </c>
      <c r="W65" s="533"/>
      <c r="X65" s="535">
        <v>9.8030000000000006E-2</v>
      </c>
      <c r="Y65" s="535">
        <v>0.125</v>
      </c>
      <c r="Z65" s="535">
        <v>0.10539999999999999</v>
      </c>
    </row>
    <row r="66" spans="1:26" ht="14.5">
      <c r="A66" s="509">
        <v>62</v>
      </c>
      <c r="B66" s="524" t="s">
        <v>636</v>
      </c>
      <c r="C66" s="525" t="s">
        <v>637</v>
      </c>
      <c r="D66" s="526">
        <v>103.28</v>
      </c>
      <c r="E66" s="527">
        <v>4.25</v>
      </c>
      <c r="F66" s="101">
        <f t="shared" si="7"/>
        <v>4.1150271107668474E-2</v>
      </c>
      <c r="G66" s="102" t="str">
        <f t="shared" si="0"/>
        <v>NMF</v>
      </c>
      <c r="H66" s="102" t="str">
        <f t="shared" si="1"/>
        <v>NMF</v>
      </c>
      <c r="I66" s="102" t="str">
        <f t="shared" si="2"/>
        <v>NMF</v>
      </c>
      <c r="J66" s="528">
        <v>435.43400000000003</v>
      </c>
      <c r="K66" s="529">
        <f t="shared" si="8"/>
        <v>44.971623520000001</v>
      </c>
      <c r="L66" s="530">
        <f t="shared" si="3"/>
        <v>1.1033192684988737E-3</v>
      </c>
      <c r="M66" s="531">
        <f t="shared" si="9"/>
        <v>4.5401887017043117E-5</v>
      </c>
      <c r="N66" s="532" t="str">
        <f t="shared" si="10"/>
        <v>--</v>
      </c>
      <c r="O66" s="533" t="str">
        <f t="shared" si="4"/>
        <v>--</v>
      </c>
      <c r="P66" s="533" t="str">
        <f t="shared" si="11"/>
        <v>--</v>
      </c>
      <c r="Q66" s="532" t="str">
        <f t="shared" si="12"/>
        <v>--</v>
      </c>
      <c r="R66" s="534" t="str">
        <f t="shared" si="5"/>
        <v>--</v>
      </c>
      <c r="S66" s="533" t="str">
        <f t="shared" si="13"/>
        <v>--</v>
      </c>
      <c r="T66" s="532" t="str">
        <f t="shared" si="14"/>
        <v>--</v>
      </c>
      <c r="U66" s="534" t="str">
        <f t="shared" si="6"/>
        <v>--</v>
      </c>
      <c r="V66" s="533" t="str">
        <f t="shared" si="15"/>
        <v>--</v>
      </c>
      <c r="W66" s="533"/>
      <c r="X66" s="535">
        <v>-0.317</v>
      </c>
      <c r="Y66" s="535">
        <v>-0.08</v>
      </c>
      <c r="Z66" s="535">
        <v>0.32659999999999995</v>
      </c>
    </row>
    <row r="67" spans="1:26" ht="14.5">
      <c r="A67" s="509">
        <v>63</v>
      </c>
      <c r="B67" s="524" t="s">
        <v>638</v>
      </c>
      <c r="C67" s="525" t="s">
        <v>639</v>
      </c>
      <c r="D67" s="526">
        <v>180.09</v>
      </c>
      <c r="E67" s="527">
        <v>2.5</v>
      </c>
      <c r="F67" s="101">
        <f t="shared" si="7"/>
        <v>1.3881947914931423E-2</v>
      </c>
      <c r="G67" s="102">
        <f t="shared" si="0"/>
        <v>5.7000000000000002E-2</v>
      </c>
      <c r="H67" s="102">
        <f t="shared" si="1"/>
        <v>6.5000000000000002E-2</v>
      </c>
      <c r="I67" s="102">
        <f t="shared" si="2"/>
        <v>6.3799999999999996E-2</v>
      </c>
      <c r="J67" s="528">
        <v>131.767</v>
      </c>
      <c r="K67" s="529">
        <f t="shared" si="8"/>
        <v>23.729919030000001</v>
      </c>
      <c r="L67" s="530">
        <f t="shared" si="3"/>
        <v>5.8218215969173227E-4</v>
      </c>
      <c r="M67" s="531">
        <f t="shared" si="9"/>
        <v>8.0818224178429161E-6</v>
      </c>
      <c r="N67" s="532">
        <f t="shared" si="10"/>
        <v>23.729919030000001</v>
      </c>
      <c r="O67" s="533">
        <f t="shared" si="4"/>
        <v>7.0882039464269589E-4</v>
      </c>
      <c r="P67" s="533">
        <f t="shared" si="11"/>
        <v>4.0402762494633666E-5</v>
      </c>
      <c r="Q67" s="532">
        <f t="shared" si="12"/>
        <v>23.729919030000001</v>
      </c>
      <c r="R67" s="534">
        <f t="shared" si="5"/>
        <v>7.1457711653638112E-4</v>
      </c>
      <c r="S67" s="533">
        <f t="shared" si="13"/>
        <v>4.6447512574864773E-5</v>
      </c>
      <c r="T67" s="532">
        <f t="shared" si="14"/>
        <v>23.729919030000001</v>
      </c>
      <c r="U67" s="534">
        <f t="shared" si="6"/>
        <v>6.6186794852610294E-4</v>
      </c>
      <c r="V67" s="533">
        <f t="shared" si="15"/>
        <v>4.2227175115965363E-5</v>
      </c>
      <c r="W67" s="533"/>
      <c r="X67" s="535">
        <v>5.7000000000000002E-2</v>
      </c>
      <c r="Y67" s="535">
        <v>6.5000000000000002E-2</v>
      </c>
      <c r="Z67" s="535">
        <v>6.3799999999999996E-2</v>
      </c>
    </row>
    <row r="68" spans="1:26" ht="14.5">
      <c r="A68" s="509">
        <v>64</v>
      </c>
      <c r="B68" s="524" t="s">
        <v>640</v>
      </c>
      <c r="C68" s="525" t="s">
        <v>641</v>
      </c>
      <c r="D68" s="526">
        <v>270.58999999999997</v>
      </c>
      <c r="E68" s="527">
        <v>1.55</v>
      </c>
      <c r="F68" s="101">
        <f t="shared" si="7"/>
        <v>5.7282235115857947E-3</v>
      </c>
      <c r="G68" s="102" t="str">
        <f t="shared" si="0"/>
        <v>NMF</v>
      </c>
      <c r="H68" s="102">
        <f t="shared" si="1"/>
        <v>0.17499999999999999</v>
      </c>
      <c r="I68" s="102">
        <f t="shared" si="2"/>
        <v>0.124</v>
      </c>
      <c r="J68" s="528">
        <v>313.41699999999997</v>
      </c>
      <c r="K68" s="529">
        <f t="shared" si="8"/>
        <v>84.807506029999985</v>
      </c>
      <c r="L68" s="530">
        <f t="shared" si="3"/>
        <v>2.0806399278562979E-3</v>
      </c>
      <c r="M68" s="531">
        <f t="shared" si="9"/>
        <v>1.1918370553890617E-5</v>
      </c>
      <c r="N68" s="532" t="str">
        <f t="shared" si="10"/>
        <v>--</v>
      </c>
      <c r="O68" s="533" t="str">
        <f t="shared" si="4"/>
        <v>--</v>
      </c>
      <c r="P68" s="533" t="str">
        <f t="shared" si="11"/>
        <v>--</v>
      </c>
      <c r="Q68" s="532">
        <f t="shared" si="12"/>
        <v>84.807506029999985</v>
      </c>
      <c r="R68" s="534">
        <f t="shared" si="5"/>
        <v>2.5538015128894918E-3</v>
      </c>
      <c r="S68" s="533">
        <f t="shared" si="13"/>
        <v>4.4691526475566101E-4</v>
      </c>
      <c r="T68" s="532">
        <f t="shared" si="14"/>
        <v>84.807506029999985</v>
      </c>
      <c r="U68" s="534">
        <f t="shared" si="6"/>
        <v>2.3654261089019481E-3</v>
      </c>
      <c r="V68" s="533">
        <f t="shared" si="15"/>
        <v>2.9331283750384156E-4</v>
      </c>
      <c r="W68" s="533"/>
      <c r="X68" s="535" t="s">
        <v>36</v>
      </c>
      <c r="Y68" s="535">
        <v>0.17499999999999999</v>
      </c>
      <c r="Z68" s="535">
        <v>0.124</v>
      </c>
    </row>
    <row r="69" spans="1:26" ht="14.5">
      <c r="A69" s="509">
        <v>65</v>
      </c>
      <c r="B69" s="524" t="s">
        <v>642</v>
      </c>
      <c r="C69" s="525" t="s">
        <v>643</v>
      </c>
      <c r="D69" s="526">
        <v>81.319999999999993</v>
      </c>
      <c r="E69" s="527">
        <v>2.0499999999999998</v>
      </c>
      <c r="F69" s="101">
        <f t="shared" si="7"/>
        <v>2.5209050664043286E-2</v>
      </c>
      <c r="G69" s="102" t="str">
        <f t="shared" ref="G69:G132" si="16">IF(AND(X69&gt;=$F$423,X69&lt;=$F$424),X69,"NMF")</f>
        <v>NMF</v>
      </c>
      <c r="H69" s="102" t="str">
        <f t="shared" ref="H69:H132" si="17">IF(AND(Y69&gt;=$F$423,Y69&lt;=$F$424),Y69,"NMF")</f>
        <v>NMF</v>
      </c>
      <c r="I69" s="102" t="str">
        <f t="shared" ref="I69:I132" si="18">IF(AND(Z69&gt;=$F$423,Z69&lt;=$F$424),Z69,"NMF")</f>
        <v>NMF</v>
      </c>
      <c r="J69" s="528">
        <v>166.46700000000001</v>
      </c>
      <c r="K69" s="529">
        <f t="shared" si="8"/>
        <v>13.537096439999999</v>
      </c>
      <c r="L69" s="530">
        <f t="shared" ref="L69:L132" si="19">K69/K$408</f>
        <v>3.3211474642753805E-4</v>
      </c>
      <c r="M69" s="531">
        <f t="shared" si="9"/>
        <v>8.3722974689676953E-6</v>
      </c>
      <c r="N69" s="532" t="str">
        <f t="shared" si="10"/>
        <v>--</v>
      </c>
      <c r="O69" s="533" t="str">
        <f t="shared" ref="O69:O132" si="20">IF(N69="--","--",N69/N$408)</f>
        <v>--</v>
      </c>
      <c r="P69" s="533" t="str">
        <f t="shared" si="11"/>
        <v>--</v>
      </c>
      <c r="Q69" s="532" t="str">
        <f t="shared" si="12"/>
        <v>--</v>
      </c>
      <c r="R69" s="534" t="str">
        <f t="shared" ref="R69:R132" si="21">IF(Q69="--","--",Q69/Q$408)</f>
        <v>--</v>
      </c>
      <c r="S69" s="533" t="str">
        <f t="shared" si="13"/>
        <v>--</v>
      </c>
      <c r="T69" s="532" t="str">
        <f t="shared" si="14"/>
        <v>--</v>
      </c>
      <c r="U69" s="534" t="str">
        <f t="shared" ref="U69:U132" si="22">IF(T69="--","--",T69/T$408)</f>
        <v>--</v>
      </c>
      <c r="V69" s="533" t="str">
        <f t="shared" si="15"/>
        <v>--</v>
      </c>
      <c r="W69" s="533"/>
      <c r="X69" s="535">
        <v>-5.2999999999999999E-2</v>
      </c>
      <c r="Y69" s="535">
        <v>-0.02</v>
      </c>
      <c r="Z69" s="535">
        <v>0.37</v>
      </c>
    </row>
    <row r="70" spans="1:26" ht="14.5">
      <c r="A70" s="509">
        <v>66</v>
      </c>
      <c r="B70" s="524" t="s">
        <v>644</v>
      </c>
      <c r="C70" s="525" t="s">
        <v>645</v>
      </c>
      <c r="D70" s="526">
        <v>39</v>
      </c>
      <c r="E70" s="527">
        <v>1.8</v>
      </c>
      <c r="F70" s="101">
        <f t="shared" ref="F70:F132" si="23">E70/D70</f>
        <v>4.6153846153846156E-2</v>
      </c>
      <c r="G70" s="102" t="str">
        <f t="shared" si="16"/>
        <v>NMF</v>
      </c>
      <c r="H70" s="102">
        <f t="shared" si="17"/>
        <v>5.5E-2</v>
      </c>
      <c r="I70" s="102">
        <f t="shared" si="18"/>
        <v>0.15689999999999998</v>
      </c>
      <c r="J70" s="528">
        <v>437.66800000000001</v>
      </c>
      <c r="K70" s="529">
        <f t="shared" ref="K70:K132" si="24">J70*D70/1000</f>
        <v>17.069051999999999</v>
      </c>
      <c r="L70" s="530">
        <f t="shared" si="19"/>
        <v>4.1876660197143878E-4</v>
      </c>
      <c r="M70" s="531">
        <f t="shared" ref="M70:M132" si="25">F70*L70</f>
        <v>1.9327689321758714E-5</v>
      </c>
      <c r="N70" s="532" t="str">
        <f t="shared" ref="N70:N132" si="26">IF(G70="n/a","--",IF(G70="NMF","--",$K70))</f>
        <v>--</v>
      </c>
      <c r="O70" s="533" t="str">
        <f t="shared" si="20"/>
        <v>--</v>
      </c>
      <c r="P70" s="533" t="str">
        <f t="shared" ref="P70:P132" si="27">IF(O70="--","--",G70*O70)</f>
        <v>--</v>
      </c>
      <c r="Q70" s="532">
        <f t="shared" ref="Q70:Q132" si="28">IF(H70="n/a","--",IF(H70="NMF","--",$K70))</f>
        <v>17.069051999999999</v>
      </c>
      <c r="R70" s="534">
        <f t="shared" si="21"/>
        <v>5.1399897086667589E-4</v>
      </c>
      <c r="S70" s="533">
        <f t="shared" ref="S70:S132" si="29">IF(R70="--","--",H70*R70)</f>
        <v>2.8269943397667176E-5</v>
      </c>
      <c r="T70" s="532">
        <f t="shared" ref="T70:T132" si="30">IF(I70="n/a","--",IF(I70="NMF","--",$K70))</f>
        <v>17.069051999999999</v>
      </c>
      <c r="U70" s="534">
        <f t="shared" si="22"/>
        <v>4.7608499701338308E-4</v>
      </c>
      <c r="V70" s="533">
        <f t="shared" ref="V70:V132" si="31">IF(U70="--","--",I70*U70)</f>
        <v>7.4697736031399803E-5</v>
      </c>
      <c r="W70" s="533"/>
      <c r="X70" s="535" t="s">
        <v>36</v>
      </c>
      <c r="Y70" s="535">
        <v>5.5E-2</v>
      </c>
      <c r="Z70" s="535">
        <v>0.15689999999999998</v>
      </c>
    </row>
    <row r="71" spans="1:26" ht="14.5">
      <c r="A71" s="509">
        <v>67</v>
      </c>
      <c r="B71" s="524" t="s">
        <v>646</v>
      </c>
      <c r="C71" s="525" t="s">
        <v>370</v>
      </c>
      <c r="D71" s="526">
        <v>92.18</v>
      </c>
      <c r="E71" s="527">
        <v>1.18</v>
      </c>
      <c r="F71" s="101">
        <f t="shared" si="23"/>
        <v>1.2801041440659577E-2</v>
      </c>
      <c r="G71" s="102">
        <f t="shared" si="16"/>
        <v>5.9569999999999998E-2</v>
      </c>
      <c r="H71" s="102">
        <f t="shared" si="17"/>
        <v>0.06</v>
      </c>
      <c r="I71" s="102">
        <f t="shared" si="18"/>
        <v>6.9199999999999998E-2</v>
      </c>
      <c r="J71" s="528">
        <v>246.27699999999999</v>
      </c>
      <c r="K71" s="529">
        <f t="shared" si="24"/>
        <v>22.701813860000001</v>
      </c>
      <c r="L71" s="530">
        <f t="shared" si="19"/>
        <v>5.5695895991999514E-4</v>
      </c>
      <c r="M71" s="531">
        <f t="shared" si="25"/>
        <v>7.1296547266825146E-6</v>
      </c>
      <c r="N71" s="532">
        <f t="shared" si="26"/>
        <v>22.701813860000001</v>
      </c>
      <c r="O71" s="533">
        <f t="shared" si="20"/>
        <v>6.7811055903759746E-4</v>
      </c>
      <c r="P71" s="533">
        <f t="shared" si="27"/>
        <v>4.0395046001869681E-5</v>
      </c>
      <c r="Q71" s="532">
        <f t="shared" si="28"/>
        <v>22.701813860000001</v>
      </c>
      <c r="R71" s="534">
        <f t="shared" si="21"/>
        <v>6.8361786939584229E-4</v>
      </c>
      <c r="S71" s="533">
        <f t="shared" si="29"/>
        <v>4.1017072163750538E-5</v>
      </c>
      <c r="T71" s="532">
        <f t="shared" si="30"/>
        <v>22.701813860000001</v>
      </c>
      <c r="U71" s="534">
        <f t="shared" si="22"/>
        <v>6.3319234036761276E-4</v>
      </c>
      <c r="V71" s="533">
        <f t="shared" si="31"/>
        <v>4.38169099534388E-5</v>
      </c>
      <c r="W71" s="533"/>
      <c r="X71" s="535">
        <v>5.9569999999999998E-2</v>
      </c>
      <c r="Y71" s="535">
        <v>0.06</v>
      </c>
      <c r="Z71" s="535">
        <v>6.9199999999999998E-2</v>
      </c>
    </row>
    <row r="72" spans="1:26" ht="14.5">
      <c r="A72" s="509">
        <v>68</v>
      </c>
      <c r="B72" s="524" t="s">
        <v>647</v>
      </c>
      <c r="C72" s="525" t="s">
        <v>648</v>
      </c>
      <c r="D72" s="526">
        <v>89.58</v>
      </c>
      <c r="E72" s="527">
        <v>2.48</v>
      </c>
      <c r="F72" s="101">
        <f t="shared" si="23"/>
        <v>2.7684751060504578E-2</v>
      </c>
      <c r="G72" s="102">
        <f t="shared" si="16"/>
        <v>0.11403000000000001</v>
      </c>
      <c r="H72" s="102">
        <f t="shared" si="17"/>
        <v>0.05</v>
      </c>
      <c r="I72" s="102">
        <f t="shared" si="18"/>
        <v>0.13070000000000001</v>
      </c>
      <c r="J72" s="528">
        <v>118.73099999999999</v>
      </c>
      <c r="K72" s="529">
        <f t="shared" si="24"/>
        <v>10.63592298</v>
      </c>
      <c r="L72" s="530">
        <f t="shared" si="19"/>
        <v>2.6093829494248065E-4</v>
      </c>
      <c r="M72" s="531">
        <f t="shared" si="25"/>
        <v>7.2240117376350972E-6</v>
      </c>
      <c r="N72" s="532">
        <f t="shared" si="26"/>
        <v>10.63592298</v>
      </c>
      <c r="O72" s="533">
        <f t="shared" si="20"/>
        <v>3.1769847653259853E-4</v>
      </c>
      <c r="P72" s="533">
        <f t="shared" si="27"/>
        <v>3.6227157279012212E-5</v>
      </c>
      <c r="Q72" s="532">
        <f t="shared" si="28"/>
        <v>10.63592298</v>
      </c>
      <c r="R72" s="534">
        <f t="shared" si="21"/>
        <v>3.2027868131969067E-4</v>
      </c>
      <c r="S72" s="533">
        <f t="shared" si="29"/>
        <v>1.6013934065984533E-5</v>
      </c>
      <c r="T72" s="532">
        <f t="shared" si="30"/>
        <v>10.63592298</v>
      </c>
      <c r="U72" s="534">
        <f t="shared" si="22"/>
        <v>2.9665404734650013E-4</v>
      </c>
      <c r="V72" s="533">
        <f t="shared" si="31"/>
        <v>3.8772683988187568E-5</v>
      </c>
      <c r="W72" s="533"/>
      <c r="X72" s="535">
        <v>0.11403000000000001</v>
      </c>
      <c r="Y72" s="535">
        <v>0.05</v>
      </c>
      <c r="Z72" s="535">
        <v>0.13070000000000001</v>
      </c>
    </row>
    <row r="73" spans="1:26" ht="14.5">
      <c r="A73" s="509">
        <v>69</v>
      </c>
      <c r="B73" s="524" t="s">
        <v>649</v>
      </c>
      <c r="C73" s="525" t="s">
        <v>650</v>
      </c>
      <c r="D73" s="526">
        <v>333.11</v>
      </c>
      <c r="E73" s="527">
        <v>6.6</v>
      </c>
      <c r="F73" s="101">
        <f t="shared" si="23"/>
        <v>1.9813274894179098E-2</v>
      </c>
      <c r="G73" s="102">
        <f t="shared" si="16"/>
        <v>0.11349999999999999</v>
      </c>
      <c r="H73" s="102">
        <f t="shared" si="17"/>
        <v>0.11</v>
      </c>
      <c r="I73" s="102">
        <f t="shared" si="18"/>
        <v>0.11359999999999999</v>
      </c>
      <c r="J73" s="528">
        <v>267.14299999999997</v>
      </c>
      <c r="K73" s="529">
        <f t="shared" si="24"/>
        <v>88.98800473</v>
      </c>
      <c r="L73" s="530">
        <f t="shared" si="19"/>
        <v>2.1832029310708306E-3</v>
      </c>
      <c r="M73" s="531">
        <f t="shared" si="25"/>
        <v>4.3256399823083909E-5</v>
      </c>
      <c r="N73" s="532">
        <f t="shared" si="26"/>
        <v>88.98800473</v>
      </c>
      <c r="O73" s="533">
        <f t="shared" si="20"/>
        <v>2.6581006261100879E-3</v>
      </c>
      <c r="P73" s="533">
        <f t="shared" si="27"/>
        <v>3.0169442106349497E-4</v>
      </c>
      <c r="Q73" s="532">
        <f t="shared" si="28"/>
        <v>88.98800473</v>
      </c>
      <c r="R73" s="534">
        <f t="shared" si="21"/>
        <v>2.6796885293160328E-3</v>
      </c>
      <c r="S73" s="533">
        <f t="shared" si="29"/>
        <v>2.947657382247636E-4</v>
      </c>
      <c r="T73" s="532">
        <f t="shared" si="30"/>
        <v>88.98800473</v>
      </c>
      <c r="U73" s="534">
        <f t="shared" si="22"/>
        <v>2.4820273537223374E-3</v>
      </c>
      <c r="V73" s="533">
        <f t="shared" si="31"/>
        <v>2.8195830738285752E-4</v>
      </c>
      <c r="W73" s="533"/>
      <c r="X73" s="535">
        <v>0.11349999999999999</v>
      </c>
      <c r="Y73" s="535">
        <v>0.11</v>
      </c>
      <c r="Z73" s="535">
        <v>0.11359999999999999</v>
      </c>
    </row>
    <row r="74" spans="1:26" ht="14.5">
      <c r="A74" s="509">
        <v>70</v>
      </c>
      <c r="B74" s="524" t="s">
        <v>651</v>
      </c>
      <c r="C74" s="525" t="s">
        <v>652</v>
      </c>
      <c r="D74" s="526">
        <v>146.66999999999999</v>
      </c>
      <c r="E74" s="527">
        <v>3.48</v>
      </c>
      <c r="F74" s="101">
        <f t="shared" si="23"/>
        <v>2.3726733483329925E-2</v>
      </c>
      <c r="G74" s="102">
        <f t="shared" si="16"/>
        <v>2.4E-2</v>
      </c>
      <c r="H74" s="102">
        <f t="shared" si="17"/>
        <v>0.14000000000000001</v>
      </c>
      <c r="I74" s="102">
        <f t="shared" si="18"/>
        <v>2.8500000000000001E-2</v>
      </c>
      <c r="J74" s="528">
        <v>156.304</v>
      </c>
      <c r="K74" s="529">
        <f t="shared" si="24"/>
        <v>22.925107679999996</v>
      </c>
      <c r="L74" s="530">
        <f t="shared" si="19"/>
        <v>5.6243717829103422E-4</v>
      </c>
      <c r="M74" s="531">
        <f t="shared" si="25"/>
        <v>1.3344797030427485E-5</v>
      </c>
      <c r="N74" s="532">
        <f t="shared" si="26"/>
        <v>22.925107679999996</v>
      </c>
      <c r="O74" s="533">
        <f t="shared" si="20"/>
        <v>6.8478041802083199E-4</v>
      </c>
      <c r="P74" s="533">
        <f t="shared" si="27"/>
        <v>1.6434730032499969E-5</v>
      </c>
      <c r="Q74" s="532">
        <f t="shared" si="28"/>
        <v>22.925107679999996</v>
      </c>
      <c r="R74" s="534">
        <f t="shared" si="21"/>
        <v>6.9034189798752301E-4</v>
      </c>
      <c r="S74" s="533">
        <f t="shared" si="29"/>
        <v>9.6647865718253227E-5</v>
      </c>
      <c r="T74" s="532">
        <f t="shared" si="30"/>
        <v>22.925107679999996</v>
      </c>
      <c r="U74" s="534">
        <f t="shared" si="22"/>
        <v>6.3942038616815304E-4</v>
      </c>
      <c r="V74" s="533">
        <f t="shared" si="31"/>
        <v>1.8223481005792361E-5</v>
      </c>
      <c r="W74" s="533"/>
      <c r="X74" s="535">
        <v>2.4E-2</v>
      </c>
      <c r="Y74" s="535">
        <v>0.14000000000000001</v>
      </c>
      <c r="Z74" s="535">
        <v>2.8500000000000001E-2</v>
      </c>
    </row>
    <row r="75" spans="1:26" ht="14.5">
      <c r="A75" s="509">
        <v>71</v>
      </c>
      <c r="B75" s="524" t="s">
        <v>653</v>
      </c>
      <c r="C75" s="525" t="s">
        <v>377</v>
      </c>
      <c r="D75" s="526">
        <v>90.83</v>
      </c>
      <c r="E75" s="527">
        <v>2.08</v>
      </c>
      <c r="F75" s="101">
        <f t="shared" si="23"/>
        <v>2.289992293295167E-2</v>
      </c>
      <c r="G75" s="102">
        <f t="shared" si="16"/>
        <v>4.8499999999999995E-2</v>
      </c>
      <c r="H75" s="102">
        <f t="shared" si="17"/>
        <v>0.1</v>
      </c>
      <c r="I75" s="102">
        <f t="shared" si="18"/>
        <v>5.16E-2</v>
      </c>
      <c r="J75" s="528">
        <v>810.42</v>
      </c>
      <c r="K75" s="529">
        <f t="shared" si="24"/>
        <v>73.610448599999984</v>
      </c>
      <c r="L75" s="530">
        <f t="shared" si="19"/>
        <v>1.8059349417773904E-3</v>
      </c>
      <c r="M75" s="531">
        <f t="shared" si="25"/>
        <v>4.1355770988626803E-5</v>
      </c>
      <c r="N75" s="532">
        <f t="shared" si="26"/>
        <v>73.610448599999984</v>
      </c>
      <c r="O75" s="533">
        <f t="shared" si="20"/>
        <v>2.1987680261578149E-3</v>
      </c>
      <c r="P75" s="533">
        <f t="shared" si="27"/>
        <v>1.0664024926865401E-4</v>
      </c>
      <c r="Q75" s="532">
        <f t="shared" si="28"/>
        <v>73.610448599999984</v>
      </c>
      <c r="R75" s="534">
        <f t="shared" si="21"/>
        <v>2.2166254356383902E-3</v>
      </c>
      <c r="S75" s="533">
        <f t="shared" si="29"/>
        <v>2.2166254356383903E-4</v>
      </c>
      <c r="T75" s="532">
        <f t="shared" si="30"/>
        <v>73.610448599999984</v>
      </c>
      <c r="U75" s="534">
        <f t="shared" si="22"/>
        <v>2.0531210638929909E-3</v>
      </c>
      <c r="V75" s="533">
        <f t="shared" si="31"/>
        <v>1.0594104689687833E-4</v>
      </c>
      <c r="W75" s="533"/>
      <c r="X75" s="535">
        <v>4.8499999999999995E-2</v>
      </c>
      <c r="Y75" s="535">
        <v>0.1</v>
      </c>
      <c r="Z75" s="535">
        <v>5.16E-2</v>
      </c>
    </row>
    <row r="76" spans="1:26" ht="14.5">
      <c r="A76" s="509">
        <v>72</v>
      </c>
      <c r="B76" s="524" t="s">
        <v>654</v>
      </c>
      <c r="C76" s="525" t="s">
        <v>655</v>
      </c>
      <c r="D76" s="526">
        <v>137.81</v>
      </c>
      <c r="E76" s="527">
        <v>4.88</v>
      </c>
      <c r="F76" s="101">
        <f t="shared" si="23"/>
        <v>3.5411073216747697E-2</v>
      </c>
      <c r="G76" s="102">
        <f t="shared" si="16"/>
        <v>5.7229999999999996E-2</v>
      </c>
      <c r="H76" s="102">
        <f t="shared" si="17"/>
        <v>0.09</v>
      </c>
      <c r="I76" s="102">
        <f t="shared" si="18"/>
        <v>6.2300000000000001E-2</v>
      </c>
      <c r="J76" s="528">
        <v>123.253</v>
      </c>
      <c r="K76" s="529">
        <f t="shared" si="24"/>
        <v>16.985495930000003</v>
      </c>
      <c r="L76" s="530">
        <f t="shared" si="19"/>
        <v>4.1671666437045272E-4</v>
      </c>
      <c r="M76" s="531">
        <f t="shared" si="25"/>
        <v>1.4756384312660978E-5</v>
      </c>
      <c r="N76" s="532">
        <f t="shared" si="26"/>
        <v>16.985495930000003</v>
      </c>
      <c r="O76" s="533">
        <f t="shared" si="20"/>
        <v>5.0736228442598724E-4</v>
      </c>
      <c r="P76" s="533">
        <f t="shared" si="27"/>
        <v>2.9036343537699249E-5</v>
      </c>
      <c r="Q76" s="532">
        <f t="shared" si="28"/>
        <v>16.985495930000003</v>
      </c>
      <c r="R76" s="534">
        <f t="shared" si="21"/>
        <v>5.1148285374490122E-4</v>
      </c>
      <c r="S76" s="533">
        <f t="shared" si="29"/>
        <v>4.6033456837041108E-5</v>
      </c>
      <c r="T76" s="532">
        <f t="shared" si="30"/>
        <v>16.985495930000003</v>
      </c>
      <c r="U76" s="534">
        <f t="shared" si="22"/>
        <v>4.7375447559154911E-4</v>
      </c>
      <c r="V76" s="533">
        <f t="shared" si="31"/>
        <v>2.9514903829353509E-5</v>
      </c>
      <c r="W76" s="533"/>
      <c r="X76" s="535">
        <v>5.7229999999999996E-2</v>
      </c>
      <c r="Y76" s="535">
        <v>0.09</v>
      </c>
      <c r="Z76" s="535">
        <v>6.2300000000000001E-2</v>
      </c>
    </row>
    <row r="77" spans="1:26" ht="14.5">
      <c r="A77" s="509">
        <v>73</v>
      </c>
      <c r="B77" s="524" t="s">
        <v>656</v>
      </c>
      <c r="C77" s="525" t="s">
        <v>378</v>
      </c>
      <c r="D77" s="526">
        <v>34.22</v>
      </c>
      <c r="E77" s="527">
        <v>1.24</v>
      </c>
      <c r="F77" s="101">
        <f t="shared" si="23"/>
        <v>3.6236119228521331E-2</v>
      </c>
      <c r="G77" s="102">
        <f t="shared" si="16"/>
        <v>6.2530000000000002E-2</v>
      </c>
      <c r="H77" s="102">
        <f t="shared" si="17"/>
        <v>7.4999999999999997E-2</v>
      </c>
      <c r="I77" s="102">
        <f t="shared" si="18"/>
        <v>4.7E-2</v>
      </c>
      <c r="J77" s="528">
        <v>3733.7040000000002</v>
      </c>
      <c r="K77" s="529">
        <f t="shared" si="24"/>
        <v>127.76735088</v>
      </c>
      <c r="L77" s="530">
        <f t="shared" si="19"/>
        <v>3.1346028690351475E-3</v>
      </c>
      <c r="M77" s="531">
        <f t="shared" si="25"/>
        <v>1.1358584329642263E-4</v>
      </c>
      <c r="N77" s="532">
        <f t="shared" si="26"/>
        <v>127.76735088</v>
      </c>
      <c r="O77" s="533">
        <f t="shared" si="20"/>
        <v>3.8164523005206979E-3</v>
      </c>
      <c r="P77" s="533">
        <f t="shared" si="27"/>
        <v>2.3864276235155925E-4</v>
      </c>
      <c r="Q77" s="532">
        <f t="shared" si="28"/>
        <v>127.76735088</v>
      </c>
      <c r="R77" s="534">
        <f t="shared" si="21"/>
        <v>3.8474478174113872E-3</v>
      </c>
      <c r="S77" s="533">
        <f t="shared" si="29"/>
        <v>2.8855858630585403E-4</v>
      </c>
      <c r="T77" s="532">
        <f t="shared" si="30"/>
        <v>127.76735088</v>
      </c>
      <c r="U77" s="534">
        <f t="shared" si="22"/>
        <v>3.5636495138753267E-3</v>
      </c>
      <c r="V77" s="533">
        <f t="shared" si="31"/>
        <v>1.6749152715214035E-4</v>
      </c>
      <c r="W77" s="533"/>
      <c r="X77" s="535">
        <v>6.2530000000000002E-2</v>
      </c>
      <c r="Y77" s="535">
        <v>7.4999999999999997E-2</v>
      </c>
      <c r="Z77" s="535">
        <v>4.7E-2</v>
      </c>
    </row>
    <row r="78" spans="1:26" ht="14.5">
      <c r="A78" s="509">
        <v>74</v>
      </c>
      <c r="B78" s="524" t="s">
        <v>657</v>
      </c>
      <c r="C78" s="525" t="s">
        <v>658</v>
      </c>
      <c r="D78" s="526">
        <v>281.99</v>
      </c>
      <c r="E78" s="527">
        <v>5</v>
      </c>
      <c r="F78" s="101">
        <f t="shared" si="23"/>
        <v>1.7731125217206285E-2</v>
      </c>
      <c r="G78" s="102">
        <f t="shared" si="16"/>
        <v>6.7769999999999997E-2</v>
      </c>
      <c r="H78" s="102">
        <f t="shared" si="17"/>
        <v>5.5E-2</v>
      </c>
      <c r="I78" s="102">
        <f t="shared" si="18"/>
        <v>6.5299999999999997E-2</v>
      </c>
      <c r="J78" s="528">
        <v>360.35599999999999</v>
      </c>
      <c r="K78" s="529">
        <f t="shared" si="24"/>
        <v>101.61678844000001</v>
      </c>
      <c r="L78" s="530">
        <f t="shared" si="19"/>
        <v>2.4930334267110666E-3</v>
      </c>
      <c r="M78" s="531">
        <f t="shared" si="25"/>
        <v>4.4204287859694786E-5</v>
      </c>
      <c r="N78" s="532">
        <f t="shared" si="26"/>
        <v>101.61678844000001</v>
      </c>
      <c r="O78" s="533">
        <f t="shared" si="20"/>
        <v>3.0353265004109094E-3</v>
      </c>
      <c r="P78" s="533">
        <f t="shared" si="27"/>
        <v>2.0570407693284732E-4</v>
      </c>
      <c r="Q78" s="532">
        <f t="shared" si="28"/>
        <v>101.61678844000001</v>
      </c>
      <c r="R78" s="534">
        <f t="shared" si="21"/>
        <v>3.0599780632771367E-3</v>
      </c>
      <c r="S78" s="533">
        <f t="shared" si="29"/>
        <v>1.6829879348024252E-4</v>
      </c>
      <c r="T78" s="532">
        <f t="shared" si="30"/>
        <v>101.61678844000001</v>
      </c>
      <c r="U78" s="534">
        <f t="shared" si="22"/>
        <v>2.8342656886256477E-3</v>
      </c>
      <c r="V78" s="533">
        <f t="shared" si="31"/>
        <v>1.8507754946725478E-4</v>
      </c>
      <c r="W78" s="533"/>
      <c r="X78" s="535">
        <v>6.7769999999999997E-2</v>
      </c>
      <c r="Y78" s="535">
        <v>5.5E-2</v>
      </c>
      <c r="Z78" s="535">
        <v>6.5299999999999997E-2</v>
      </c>
    </row>
    <row r="79" spans="1:26" ht="14.5">
      <c r="A79" s="509">
        <v>75</v>
      </c>
      <c r="B79" s="524" t="s">
        <v>659</v>
      </c>
      <c r="C79" s="525" t="s">
        <v>660</v>
      </c>
      <c r="D79" s="526">
        <v>306.41000000000003</v>
      </c>
      <c r="E79" s="527">
        <v>7.28</v>
      </c>
      <c r="F79" s="101">
        <f t="shared" si="23"/>
        <v>2.3759015697921083E-2</v>
      </c>
      <c r="G79" s="102">
        <f t="shared" si="16"/>
        <v>8.7669999999999998E-2</v>
      </c>
      <c r="H79" s="102">
        <f t="shared" si="17"/>
        <v>0.08</v>
      </c>
      <c r="I79" s="102">
        <f t="shared" si="18"/>
        <v>8.0399999999999985E-2</v>
      </c>
      <c r="J79" s="528">
        <v>137.69999999999999</v>
      </c>
      <c r="K79" s="529">
        <f t="shared" si="24"/>
        <v>42.192656999999997</v>
      </c>
      <c r="L79" s="530">
        <f t="shared" si="19"/>
        <v>1.0351410025604491E-3</v>
      </c>
      <c r="M79" s="531">
        <f t="shared" si="25"/>
        <v>2.4593931329395477E-5</v>
      </c>
      <c r="N79" s="532">
        <f t="shared" si="26"/>
        <v>42.192656999999997</v>
      </c>
      <c r="O79" s="533">
        <f t="shared" si="20"/>
        <v>1.2603083789689568E-3</v>
      </c>
      <c r="P79" s="533">
        <f t="shared" si="27"/>
        <v>1.1049123558420844E-4</v>
      </c>
      <c r="Q79" s="532">
        <f t="shared" si="28"/>
        <v>42.192656999999997</v>
      </c>
      <c r="R79" s="534">
        <f t="shared" si="21"/>
        <v>1.2705440393602789E-3</v>
      </c>
      <c r="S79" s="533">
        <f t="shared" si="29"/>
        <v>1.0164352314882232E-4</v>
      </c>
      <c r="T79" s="532">
        <f t="shared" si="30"/>
        <v>42.192656999999997</v>
      </c>
      <c r="U79" s="534">
        <f t="shared" si="22"/>
        <v>1.1768252262534379E-3</v>
      </c>
      <c r="V79" s="533">
        <f t="shared" si="31"/>
        <v>9.4616748190776387E-5</v>
      </c>
      <c r="W79" s="533"/>
      <c r="X79" s="535">
        <v>8.7669999999999998E-2</v>
      </c>
      <c r="Y79" s="535">
        <v>0.08</v>
      </c>
      <c r="Z79" s="535">
        <v>8.0399999999999985E-2</v>
      </c>
    </row>
    <row r="80" spans="1:26" ht="14.5">
      <c r="A80" s="509">
        <v>76</v>
      </c>
      <c r="B80" s="524" t="s">
        <v>661</v>
      </c>
      <c r="C80" s="525" t="s">
        <v>662</v>
      </c>
      <c r="D80" s="526">
        <v>72.599999999999994</v>
      </c>
      <c r="E80" s="527">
        <v>2.17</v>
      </c>
      <c r="F80" s="101">
        <f t="shared" si="23"/>
        <v>2.9889807162534438E-2</v>
      </c>
      <c r="G80" s="102">
        <f t="shared" si="16"/>
        <v>7.6999999999999999E-2</v>
      </c>
      <c r="H80" s="102">
        <f t="shared" si="17"/>
        <v>5.5E-2</v>
      </c>
      <c r="I80" s="102">
        <f t="shared" si="18"/>
        <v>7.8399999999999997E-2</v>
      </c>
      <c r="J80" s="528">
        <v>299.12400000000002</v>
      </c>
      <c r="K80" s="529">
        <f t="shared" si="24"/>
        <v>21.7164024</v>
      </c>
      <c r="L80" s="530">
        <f t="shared" si="19"/>
        <v>5.3278319382308974E-4</v>
      </c>
      <c r="M80" s="531">
        <f t="shared" si="25"/>
        <v>1.5924786922811363E-5</v>
      </c>
      <c r="N80" s="532">
        <f t="shared" si="26"/>
        <v>21.7164024</v>
      </c>
      <c r="O80" s="533">
        <f t="shared" si="20"/>
        <v>6.4867599842744123E-4</v>
      </c>
      <c r="P80" s="533">
        <f t="shared" si="27"/>
        <v>4.9948051878912973E-5</v>
      </c>
      <c r="Q80" s="532">
        <f t="shared" si="28"/>
        <v>21.7164024</v>
      </c>
      <c r="R80" s="534">
        <f t="shared" si="21"/>
        <v>6.5394425446279095E-4</v>
      </c>
      <c r="S80" s="533">
        <f t="shared" si="29"/>
        <v>3.5966933995453502E-5</v>
      </c>
      <c r="T80" s="532">
        <f t="shared" si="30"/>
        <v>21.7164024</v>
      </c>
      <c r="U80" s="534">
        <f t="shared" si="22"/>
        <v>6.0570753265883927E-4</v>
      </c>
      <c r="V80" s="533">
        <f t="shared" si="31"/>
        <v>4.7487470560452997E-5</v>
      </c>
      <c r="W80" s="533"/>
      <c r="X80" s="535">
        <v>7.6999999999999999E-2</v>
      </c>
      <c r="Y80" s="535">
        <v>5.5E-2</v>
      </c>
      <c r="Z80" s="535">
        <v>7.8399999999999997E-2</v>
      </c>
    </row>
    <row r="81" spans="1:26" ht="14.5">
      <c r="A81" s="509">
        <v>77</v>
      </c>
      <c r="B81" s="524" t="s">
        <v>663</v>
      </c>
      <c r="C81" s="525" t="s">
        <v>664</v>
      </c>
      <c r="D81" s="526">
        <v>37.950000000000003</v>
      </c>
      <c r="E81" s="527">
        <v>0.88</v>
      </c>
      <c r="F81" s="101">
        <f t="shared" si="23"/>
        <v>2.3188405797101446E-2</v>
      </c>
      <c r="G81" s="102">
        <f t="shared" si="16"/>
        <v>8.0329999999999999E-2</v>
      </c>
      <c r="H81" s="102">
        <f t="shared" si="17"/>
        <v>6.5000000000000002E-2</v>
      </c>
      <c r="I81" s="102">
        <f t="shared" si="18"/>
        <v>7.7600000000000002E-2</v>
      </c>
      <c r="J81" s="528">
        <v>652.72799999999995</v>
      </c>
      <c r="K81" s="529">
        <f t="shared" si="24"/>
        <v>24.7710276</v>
      </c>
      <c r="L81" s="530">
        <f t="shared" si="19"/>
        <v>6.0772438067402488E-4</v>
      </c>
      <c r="M81" s="531">
        <f t="shared" si="25"/>
        <v>1.4092159551861445E-5</v>
      </c>
      <c r="N81" s="532">
        <f t="shared" si="26"/>
        <v>24.7710276</v>
      </c>
      <c r="O81" s="533">
        <f t="shared" si="20"/>
        <v>7.3991864603244336E-4</v>
      </c>
      <c r="P81" s="533">
        <f t="shared" si="27"/>
        <v>5.9437664835786176E-5</v>
      </c>
      <c r="Q81" s="532">
        <f t="shared" si="28"/>
        <v>24.7710276</v>
      </c>
      <c r="R81" s="534">
        <f t="shared" si="21"/>
        <v>7.4592793400067125E-4</v>
      </c>
      <c r="S81" s="533">
        <f t="shared" si="29"/>
        <v>4.8485315710043633E-5</v>
      </c>
      <c r="T81" s="532">
        <f t="shared" si="30"/>
        <v>24.7710276</v>
      </c>
      <c r="U81" s="534">
        <f t="shared" si="22"/>
        <v>6.9090624370729146E-4</v>
      </c>
      <c r="V81" s="533">
        <f t="shared" si="31"/>
        <v>5.3614324511685819E-5</v>
      </c>
      <c r="W81" s="533"/>
      <c r="X81" s="535">
        <v>8.0329999999999999E-2</v>
      </c>
      <c r="Y81" s="535">
        <v>6.5000000000000002E-2</v>
      </c>
      <c r="Z81" s="535">
        <v>7.7600000000000002E-2</v>
      </c>
    </row>
    <row r="82" spans="1:26" ht="14.5">
      <c r="A82" s="509">
        <v>78</v>
      </c>
      <c r="B82" s="524" t="s">
        <v>1312</v>
      </c>
      <c r="C82" s="525" t="s">
        <v>665</v>
      </c>
      <c r="D82" s="526">
        <v>189.5</v>
      </c>
      <c r="E82" s="527">
        <v>2.4</v>
      </c>
      <c r="F82" s="101">
        <f t="shared" si="23"/>
        <v>1.2664907651715039E-2</v>
      </c>
      <c r="G82" s="102">
        <f t="shared" si="16"/>
        <v>0.16445000000000001</v>
      </c>
      <c r="H82" s="102">
        <f t="shared" si="17"/>
        <v>9.5000000000000001E-2</v>
      </c>
      <c r="I82" s="102">
        <f t="shared" si="18"/>
        <v>0.1079</v>
      </c>
      <c r="J82" s="528">
        <v>382.959</v>
      </c>
      <c r="K82" s="529">
        <f t="shared" si="24"/>
        <v>72.57073050000001</v>
      </c>
      <c r="L82" s="530">
        <f t="shared" si="19"/>
        <v>1.7804268341364278E-3</v>
      </c>
      <c r="M82" s="531">
        <f t="shared" si="25"/>
        <v>2.2548941434973227E-5</v>
      </c>
      <c r="N82" s="532">
        <f t="shared" si="26"/>
        <v>72.57073050000001</v>
      </c>
      <c r="O82" s="533">
        <f t="shared" si="20"/>
        <v>2.167711308558929E-3</v>
      </c>
      <c r="P82" s="533">
        <f t="shared" si="27"/>
        <v>3.5648012469251592E-4</v>
      </c>
      <c r="Q82" s="532">
        <f t="shared" si="28"/>
        <v>72.57073050000001</v>
      </c>
      <c r="R82" s="534">
        <f t="shared" si="21"/>
        <v>2.1853164892838158E-3</v>
      </c>
      <c r="S82" s="533">
        <f t="shared" si="29"/>
        <v>2.0760506648196252E-4</v>
      </c>
      <c r="T82" s="532">
        <f t="shared" si="30"/>
        <v>72.57073050000001</v>
      </c>
      <c r="U82" s="534">
        <f t="shared" si="22"/>
        <v>2.0241215512936243E-3</v>
      </c>
      <c r="V82" s="533">
        <f t="shared" si="31"/>
        <v>2.1840271538458206E-4</v>
      </c>
      <c r="W82" s="533"/>
      <c r="X82" s="535">
        <v>0.16445000000000001</v>
      </c>
      <c r="Y82" s="535">
        <v>9.5000000000000001E-2</v>
      </c>
      <c r="Z82" s="535">
        <v>0.1079</v>
      </c>
    </row>
    <row r="83" spans="1:26" ht="14.5">
      <c r="A83" s="509">
        <v>79</v>
      </c>
      <c r="B83" s="524" t="s">
        <v>666</v>
      </c>
      <c r="C83" s="525" t="s">
        <v>667</v>
      </c>
      <c r="D83" s="526">
        <v>88.82</v>
      </c>
      <c r="E83" s="527">
        <v>3.12</v>
      </c>
      <c r="F83" s="101">
        <f t="shared" si="23"/>
        <v>3.5127223598288675E-2</v>
      </c>
      <c r="G83" s="102">
        <f t="shared" si="16"/>
        <v>0.1</v>
      </c>
      <c r="H83" s="102">
        <f t="shared" si="17"/>
        <v>1.4999999999999999E-2</v>
      </c>
      <c r="I83" s="102">
        <f t="shared" si="18"/>
        <v>5.9500000000000004E-2</v>
      </c>
      <c r="J83" s="528">
        <v>1264.165</v>
      </c>
      <c r="K83" s="529">
        <f t="shared" si="24"/>
        <v>112.2831353</v>
      </c>
      <c r="L83" s="530">
        <f t="shared" si="19"/>
        <v>2.754718131286981E-3</v>
      </c>
      <c r="M83" s="531">
        <f t="shared" si="25"/>
        <v>9.6765599747977721E-5</v>
      </c>
      <c r="N83" s="532">
        <f t="shared" si="26"/>
        <v>112.2831353</v>
      </c>
      <c r="O83" s="533">
        <f t="shared" si="20"/>
        <v>3.3539337481281414E-3</v>
      </c>
      <c r="P83" s="533">
        <f t="shared" si="27"/>
        <v>3.3539337481281416E-4</v>
      </c>
      <c r="Q83" s="532">
        <f t="shared" si="28"/>
        <v>112.2831353</v>
      </c>
      <c r="R83" s="534">
        <f t="shared" si="21"/>
        <v>3.3811728964141495E-3</v>
      </c>
      <c r="S83" s="533">
        <f t="shared" si="29"/>
        <v>5.0717593446212238E-5</v>
      </c>
      <c r="T83" s="532">
        <f t="shared" si="30"/>
        <v>112.2831353</v>
      </c>
      <c r="U83" s="534">
        <f t="shared" si="22"/>
        <v>3.1317683099186641E-3</v>
      </c>
      <c r="V83" s="533">
        <f t="shared" si="31"/>
        <v>1.8634021444016054E-4</v>
      </c>
      <c r="W83" s="533"/>
      <c r="X83" s="535">
        <v>0.1</v>
      </c>
      <c r="Y83" s="535">
        <v>1.4999999999999999E-2</v>
      </c>
      <c r="Z83" s="535">
        <v>5.9500000000000004E-2</v>
      </c>
    </row>
    <row r="84" spans="1:26" ht="14.5">
      <c r="A84" s="509">
        <v>80</v>
      </c>
      <c r="B84" s="524" t="s">
        <v>668</v>
      </c>
      <c r="C84" s="525" t="s">
        <v>669</v>
      </c>
      <c r="D84" s="526">
        <v>283.77</v>
      </c>
      <c r="E84" s="527">
        <v>2.2000000000000002</v>
      </c>
      <c r="F84" s="101">
        <f t="shared" si="23"/>
        <v>7.7527575148888198E-3</v>
      </c>
      <c r="G84" s="102">
        <f t="shared" si="16"/>
        <v>0.11782999999999999</v>
      </c>
      <c r="H84" s="102">
        <f t="shared" si="17"/>
        <v>0.11</v>
      </c>
      <c r="I84" s="102">
        <f t="shared" si="18"/>
        <v>0.12130000000000001</v>
      </c>
      <c r="J84" s="528">
        <v>193.71299999999999</v>
      </c>
      <c r="K84" s="529">
        <f t="shared" si="24"/>
        <v>54.96993801</v>
      </c>
      <c r="L84" s="530">
        <f t="shared" si="19"/>
        <v>1.3486146829377716E-3</v>
      </c>
      <c r="M84" s="531">
        <f t="shared" si="25"/>
        <v>1.0455482617835211E-5</v>
      </c>
      <c r="N84" s="532">
        <f t="shared" si="26"/>
        <v>54.96993801</v>
      </c>
      <c r="O84" s="533">
        <f t="shared" si="20"/>
        <v>1.6419699158886144E-3</v>
      </c>
      <c r="P84" s="533">
        <f t="shared" si="27"/>
        <v>1.9347331518915542E-4</v>
      </c>
      <c r="Q84" s="532">
        <f t="shared" si="28"/>
        <v>54.96993801</v>
      </c>
      <c r="R84" s="534">
        <f t="shared" si="21"/>
        <v>1.6553052604060829E-3</v>
      </c>
      <c r="S84" s="533">
        <f t="shared" si="29"/>
        <v>1.8208357864466911E-4</v>
      </c>
      <c r="T84" s="532">
        <f t="shared" si="30"/>
        <v>54.96993801</v>
      </c>
      <c r="U84" s="534">
        <f t="shared" si="22"/>
        <v>1.5332054043374352E-3</v>
      </c>
      <c r="V84" s="533">
        <f t="shared" si="31"/>
        <v>1.8597781554613091E-4</v>
      </c>
      <c r="W84" s="533"/>
      <c r="X84" s="535">
        <v>0.11782999999999999</v>
      </c>
      <c r="Y84" s="535">
        <v>0.11</v>
      </c>
      <c r="Z84" s="535">
        <v>0.12130000000000001</v>
      </c>
    </row>
    <row r="85" spans="1:26" ht="14.5">
      <c r="A85" s="509">
        <v>81</v>
      </c>
      <c r="B85" s="524" t="s">
        <v>670</v>
      </c>
      <c r="C85" s="525" t="s">
        <v>381</v>
      </c>
      <c r="D85" s="526">
        <v>1007.71</v>
      </c>
      <c r="E85" s="527">
        <v>5.2</v>
      </c>
      <c r="F85" s="101">
        <f t="shared" si="23"/>
        <v>5.1602147443212832E-3</v>
      </c>
      <c r="G85" s="102">
        <f t="shared" si="16"/>
        <v>0.1048</v>
      </c>
      <c r="H85" s="102">
        <f t="shared" si="17"/>
        <v>0.1</v>
      </c>
      <c r="I85" s="102">
        <f t="shared" si="18"/>
        <v>9.3399999999999997E-2</v>
      </c>
      <c r="J85" s="528">
        <v>443.68299999999999</v>
      </c>
      <c r="K85" s="529">
        <f t="shared" si="24"/>
        <v>447.10379593000005</v>
      </c>
      <c r="L85" s="530">
        <f t="shared" si="19"/>
        <v>1.0969099944750167E-2</v>
      </c>
      <c r="M85" s="531">
        <f t="shared" si="25"/>
        <v>5.6602911266833583E-5</v>
      </c>
      <c r="N85" s="532">
        <f t="shared" si="26"/>
        <v>447.10379593000005</v>
      </c>
      <c r="O85" s="533">
        <f t="shared" si="20"/>
        <v>1.3355135711870568E-2</v>
      </c>
      <c r="P85" s="533">
        <f t="shared" si="27"/>
        <v>1.3996182226040357E-3</v>
      </c>
      <c r="Q85" s="532">
        <f t="shared" si="28"/>
        <v>447.10379593000005</v>
      </c>
      <c r="R85" s="534">
        <f t="shared" si="21"/>
        <v>1.3463600144788609E-2</v>
      </c>
      <c r="S85" s="533">
        <f t="shared" si="29"/>
        <v>1.346360014478861E-3</v>
      </c>
      <c r="T85" s="532">
        <f t="shared" si="30"/>
        <v>447.10379593000005</v>
      </c>
      <c r="U85" s="534">
        <f t="shared" si="22"/>
        <v>1.2470488071042628E-2</v>
      </c>
      <c r="V85" s="533">
        <f t="shared" si="31"/>
        <v>1.1647435858353815E-3</v>
      </c>
      <c r="W85" s="533"/>
      <c r="X85" s="535">
        <v>0.1048</v>
      </c>
      <c r="Y85" s="535">
        <v>0.1</v>
      </c>
      <c r="Z85" s="535">
        <v>9.3399999999999997E-2</v>
      </c>
    </row>
    <row r="86" spans="1:26" ht="14.5">
      <c r="A86" s="509">
        <v>82</v>
      </c>
      <c r="B86" s="524" t="s">
        <v>1313</v>
      </c>
      <c r="C86" s="525" t="s">
        <v>671</v>
      </c>
      <c r="D86" s="526">
        <v>35.58</v>
      </c>
      <c r="E86" s="527">
        <v>1.66</v>
      </c>
      <c r="F86" s="101">
        <f t="shared" si="23"/>
        <v>4.6655424395727937E-2</v>
      </c>
      <c r="G86" s="102">
        <f t="shared" si="16"/>
        <v>2.0250000000000001E-2</v>
      </c>
      <c r="H86" s="102">
        <f t="shared" si="17"/>
        <v>0.06</v>
      </c>
      <c r="I86" s="102">
        <f t="shared" si="18"/>
        <v>2.0400000000000001E-2</v>
      </c>
      <c r="J86" s="528">
        <v>298.18200000000002</v>
      </c>
      <c r="K86" s="529">
        <f t="shared" si="24"/>
        <v>10.609315560000001</v>
      </c>
      <c r="L86" s="530">
        <f t="shared" si="19"/>
        <v>2.6028551710451835E-4</v>
      </c>
      <c r="M86" s="531">
        <f t="shared" si="25"/>
        <v>1.2143731264572806E-5</v>
      </c>
      <c r="N86" s="532">
        <f t="shared" si="26"/>
        <v>10.609315560000001</v>
      </c>
      <c r="O86" s="533">
        <f t="shared" si="20"/>
        <v>3.169037042486737E-4</v>
      </c>
      <c r="P86" s="533">
        <f t="shared" si="27"/>
        <v>6.4173000110356428E-6</v>
      </c>
      <c r="Q86" s="532">
        <f t="shared" si="28"/>
        <v>10.609315560000001</v>
      </c>
      <c r="R86" s="534">
        <f t="shared" si="21"/>
        <v>3.1947745425110969E-4</v>
      </c>
      <c r="S86" s="533">
        <f t="shared" si="29"/>
        <v>1.9168647255066581E-5</v>
      </c>
      <c r="T86" s="532">
        <f t="shared" si="30"/>
        <v>10.609315560000001</v>
      </c>
      <c r="U86" s="534">
        <f t="shared" si="22"/>
        <v>2.9591192098404992E-4</v>
      </c>
      <c r="V86" s="533">
        <f t="shared" si="31"/>
        <v>6.0366031880746186E-6</v>
      </c>
      <c r="W86" s="533"/>
      <c r="X86" s="535">
        <v>2.0250000000000001E-2</v>
      </c>
      <c r="Y86" s="535">
        <v>0.06</v>
      </c>
      <c r="Z86" s="535">
        <v>2.0400000000000001E-2</v>
      </c>
    </row>
    <row r="87" spans="1:26" ht="14.5">
      <c r="A87" s="509">
        <v>83</v>
      </c>
      <c r="B87" s="524" t="s">
        <v>672</v>
      </c>
      <c r="C87" s="525" t="s">
        <v>673</v>
      </c>
      <c r="D87" s="526">
        <v>117.49</v>
      </c>
      <c r="E87" s="527">
        <v>4.2300000000000004</v>
      </c>
      <c r="F87" s="101">
        <f t="shared" si="23"/>
        <v>3.6003064090560907E-2</v>
      </c>
      <c r="G87" s="102">
        <f t="shared" si="16"/>
        <v>6.6400000000000001E-2</v>
      </c>
      <c r="H87" s="102" t="str">
        <f t="shared" si="17"/>
        <v>NMF</v>
      </c>
      <c r="I87" s="102">
        <f t="shared" si="18"/>
        <v>4.8499999999999995E-2</v>
      </c>
      <c r="J87" s="528">
        <v>106.83799999999999</v>
      </c>
      <c r="K87" s="529">
        <f t="shared" si="24"/>
        <v>12.55239662</v>
      </c>
      <c r="L87" s="530">
        <f t="shared" si="19"/>
        <v>3.0795643947626231E-4</v>
      </c>
      <c r="M87" s="531">
        <f t="shared" si="25"/>
        <v>1.1087375427564813E-5</v>
      </c>
      <c r="N87" s="532">
        <f t="shared" si="26"/>
        <v>12.55239662</v>
      </c>
      <c r="O87" s="533">
        <f t="shared" si="20"/>
        <v>3.7494416709352087E-4</v>
      </c>
      <c r="P87" s="533">
        <f t="shared" si="27"/>
        <v>2.4896292695009787E-5</v>
      </c>
      <c r="Q87" s="532" t="str">
        <f t="shared" si="28"/>
        <v>--</v>
      </c>
      <c r="R87" s="534" t="str">
        <f t="shared" si="21"/>
        <v>--</v>
      </c>
      <c r="S87" s="533" t="str">
        <f t="shared" si="29"/>
        <v>--</v>
      </c>
      <c r="T87" s="532">
        <f t="shared" si="30"/>
        <v>12.55239662</v>
      </c>
      <c r="U87" s="534">
        <f t="shared" si="22"/>
        <v>3.5010776857106654E-4</v>
      </c>
      <c r="V87" s="533">
        <f t="shared" si="31"/>
        <v>1.6980226775696725E-5</v>
      </c>
      <c r="W87" s="533"/>
      <c r="X87" s="535">
        <v>6.6400000000000001E-2</v>
      </c>
      <c r="Y87" s="535">
        <v>-6.5000000000000002E-2</v>
      </c>
      <c r="Z87" s="535">
        <v>4.8499999999999995E-2</v>
      </c>
    </row>
    <row r="88" spans="1:26" ht="14.5">
      <c r="A88" s="509">
        <v>84</v>
      </c>
      <c r="B88" s="524" t="s">
        <v>1314</v>
      </c>
      <c r="C88" s="525" t="s">
        <v>1315</v>
      </c>
      <c r="D88" s="526">
        <v>279.74</v>
      </c>
      <c r="E88" s="527">
        <v>1.6</v>
      </c>
      <c r="F88" s="101">
        <f t="shared" si="23"/>
        <v>5.7195967684278261E-3</v>
      </c>
      <c r="G88" s="102">
        <f t="shared" si="16"/>
        <v>0.11723</v>
      </c>
      <c r="H88" s="102" t="str">
        <f t="shared" si="17"/>
        <v>NMF</v>
      </c>
      <c r="I88" s="102">
        <f t="shared" si="18"/>
        <v>0.12689999999999999</v>
      </c>
      <c r="J88" s="528">
        <v>959.47400000000005</v>
      </c>
      <c r="K88" s="529">
        <f t="shared" si="24"/>
        <v>268.40325676000003</v>
      </c>
      <c r="L88" s="530">
        <f t="shared" si="19"/>
        <v>6.5849187050020606E-3</v>
      </c>
      <c r="M88" s="531">
        <f t="shared" si="25"/>
        <v>3.7663079745489734E-5</v>
      </c>
      <c r="N88" s="532">
        <f t="shared" si="26"/>
        <v>268.40325676000003</v>
      </c>
      <c r="O88" s="533">
        <f t="shared" si="20"/>
        <v>8.0172925217102207E-3</v>
      </c>
      <c r="P88" s="533">
        <f t="shared" si="27"/>
        <v>9.3986720232008922E-4</v>
      </c>
      <c r="Q88" s="532" t="str">
        <f t="shared" si="28"/>
        <v>--</v>
      </c>
      <c r="R88" s="534" t="str">
        <f t="shared" si="21"/>
        <v>--</v>
      </c>
      <c r="S88" s="533" t="str">
        <f t="shared" si="29"/>
        <v>--</v>
      </c>
      <c r="T88" s="532">
        <f t="shared" si="30"/>
        <v>268.40325676000003</v>
      </c>
      <c r="U88" s="534">
        <f t="shared" si="22"/>
        <v>7.4862249932197127E-3</v>
      </c>
      <c r="V88" s="533">
        <f t="shared" si="31"/>
        <v>9.5000195163958139E-4</v>
      </c>
      <c r="W88" s="533"/>
      <c r="X88" s="535">
        <v>0.11723</v>
      </c>
      <c r="Y88" s="535">
        <v>0.22</v>
      </c>
      <c r="Z88" s="535">
        <v>0.12689999999999999</v>
      </c>
    </row>
    <row r="89" spans="1:26" ht="14.5">
      <c r="A89" s="509">
        <v>85</v>
      </c>
      <c r="B89" s="524" t="s">
        <v>674</v>
      </c>
      <c r="C89" s="525" t="s">
        <v>373</v>
      </c>
      <c r="D89" s="526">
        <v>59.71</v>
      </c>
      <c r="E89" s="527">
        <v>1.64</v>
      </c>
      <c r="F89" s="101">
        <f t="shared" si="23"/>
        <v>2.746608608273321E-2</v>
      </c>
      <c r="G89" s="102">
        <f t="shared" si="16"/>
        <v>4.4729999999999999E-2</v>
      </c>
      <c r="H89" s="102">
        <f t="shared" si="17"/>
        <v>5.5E-2</v>
      </c>
      <c r="I89" s="102">
        <f t="shared" si="18"/>
        <v>5.0999999999999997E-2</v>
      </c>
      <c r="J89" s="528">
        <v>3978.2919999999999</v>
      </c>
      <c r="K89" s="529">
        <f t="shared" si="24"/>
        <v>237.54381531999999</v>
      </c>
      <c r="L89" s="530">
        <f t="shared" si="19"/>
        <v>5.8278231480510699E-3</v>
      </c>
      <c r="M89" s="531">
        <f t="shared" si="25"/>
        <v>1.6006749225931592E-4</v>
      </c>
      <c r="N89" s="532">
        <f t="shared" si="26"/>
        <v>237.54381531999999</v>
      </c>
      <c r="O89" s="533">
        <f t="shared" si="20"/>
        <v>7.0955109752877258E-3</v>
      </c>
      <c r="P89" s="533">
        <f t="shared" si="27"/>
        <v>3.1738220592461997E-4</v>
      </c>
      <c r="Q89" s="532">
        <f t="shared" si="28"/>
        <v>237.54381531999999</v>
      </c>
      <c r="R89" s="534">
        <f t="shared" si="21"/>
        <v>7.1531375386414972E-3</v>
      </c>
      <c r="S89" s="533">
        <f t="shared" si="29"/>
        <v>3.9342256462528234E-4</v>
      </c>
      <c r="T89" s="532">
        <f t="shared" si="30"/>
        <v>237.54381531999999</v>
      </c>
      <c r="U89" s="534">
        <f t="shared" si="22"/>
        <v>6.6255024946417548E-3</v>
      </c>
      <c r="V89" s="533">
        <f t="shared" si="31"/>
        <v>3.3790062722672946E-4</v>
      </c>
      <c r="W89" s="533"/>
      <c r="X89" s="535">
        <v>4.4729999999999999E-2</v>
      </c>
      <c r="Y89" s="535">
        <v>5.5E-2</v>
      </c>
      <c r="Z89" s="535">
        <v>5.0999999999999997E-2</v>
      </c>
    </row>
    <row r="90" spans="1:26" ht="14.5">
      <c r="A90" s="509">
        <v>86</v>
      </c>
      <c r="B90" s="524" t="s">
        <v>675</v>
      </c>
      <c r="C90" s="525" t="s">
        <v>676</v>
      </c>
      <c r="D90" s="526">
        <v>28.96</v>
      </c>
      <c r="E90" s="527">
        <v>0.54</v>
      </c>
      <c r="F90" s="101">
        <f t="shared" si="23"/>
        <v>1.8646408839779006E-2</v>
      </c>
      <c r="G90" s="102">
        <f t="shared" si="16"/>
        <v>5.4299999999999994E-2</v>
      </c>
      <c r="H90" s="102">
        <f t="shared" si="17"/>
        <v>0.08</v>
      </c>
      <c r="I90" s="102">
        <f t="shared" si="18"/>
        <v>6.9099999999999995E-2</v>
      </c>
      <c r="J90" s="528">
        <v>1878.546</v>
      </c>
      <c r="K90" s="529">
        <f t="shared" si="24"/>
        <v>54.402692160000008</v>
      </c>
      <c r="L90" s="530">
        <f t="shared" si="19"/>
        <v>1.3346980566900516E-3</v>
      </c>
      <c r="M90" s="531">
        <f t="shared" si="25"/>
        <v>2.4887325642701238E-5</v>
      </c>
      <c r="N90" s="532">
        <f t="shared" si="26"/>
        <v>54.402692160000008</v>
      </c>
      <c r="O90" s="533">
        <f t="shared" si="20"/>
        <v>1.6250260979704784E-3</v>
      </c>
      <c r="P90" s="533">
        <f t="shared" si="27"/>
        <v>8.8238917119796967E-5</v>
      </c>
      <c r="Q90" s="532">
        <f t="shared" si="28"/>
        <v>54.402692160000008</v>
      </c>
      <c r="R90" s="534">
        <f t="shared" si="21"/>
        <v>1.6382238323848673E-3</v>
      </c>
      <c r="S90" s="533">
        <f t="shared" si="29"/>
        <v>1.3105790659078938E-4</v>
      </c>
      <c r="T90" s="532">
        <f t="shared" si="30"/>
        <v>54.402692160000008</v>
      </c>
      <c r="U90" s="534">
        <f t="shared" si="22"/>
        <v>1.5173839492968681E-3</v>
      </c>
      <c r="V90" s="533">
        <f t="shared" si="31"/>
        <v>1.0485123089641358E-4</v>
      </c>
      <c r="W90" s="533"/>
      <c r="X90" s="535">
        <v>5.4299999999999994E-2</v>
      </c>
      <c r="Y90" s="535">
        <v>0.08</v>
      </c>
      <c r="Z90" s="535">
        <v>6.9099999999999995E-2</v>
      </c>
    </row>
    <row r="91" spans="1:26" ht="14.5">
      <c r="A91" s="509">
        <v>87</v>
      </c>
      <c r="B91" s="524" t="s">
        <v>677</v>
      </c>
      <c r="C91" s="525" t="s">
        <v>678</v>
      </c>
      <c r="D91" s="526">
        <v>214.96</v>
      </c>
      <c r="E91" s="527">
        <v>1.6</v>
      </c>
      <c r="F91" s="101">
        <f t="shared" si="23"/>
        <v>7.4432452549311502E-3</v>
      </c>
      <c r="G91" s="102">
        <f t="shared" si="16"/>
        <v>0.1265</v>
      </c>
      <c r="H91" s="102">
        <f t="shared" si="17"/>
        <v>0.14000000000000001</v>
      </c>
      <c r="I91" s="102">
        <f t="shared" si="18"/>
        <v>0.13189999999999999</v>
      </c>
      <c r="J91" s="528">
        <v>403.78699999999998</v>
      </c>
      <c r="K91" s="529">
        <f t="shared" si="24"/>
        <v>86.798053519999996</v>
      </c>
      <c r="L91" s="530">
        <f t="shared" si="19"/>
        <v>2.1294753762719503E-3</v>
      </c>
      <c r="M91" s="531">
        <f t="shared" si="25"/>
        <v>1.5850207489928921E-5</v>
      </c>
      <c r="N91" s="532">
        <f t="shared" si="26"/>
        <v>86.798053519999996</v>
      </c>
      <c r="O91" s="533">
        <f t="shared" si="20"/>
        <v>2.5926860716416122E-3</v>
      </c>
      <c r="P91" s="533">
        <f t="shared" si="27"/>
        <v>3.2797478806266393E-4</v>
      </c>
      <c r="Q91" s="532">
        <f t="shared" si="28"/>
        <v>86.798053519999996</v>
      </c>
      <c r="R91" s="534">
        <f t="shared" si="21"/>
        <v>2.6137427071234332E-3</v>
      </c>
      <c r="S91" s="533">
        <f t="shared" si="29"/>
        <v>3.6592397899728069E-4</v>
      </c>
      <c r="T91" s="532">
        <f t="shared" si="30"/>
        <v>86.798053519999996</v>
      </c>
      <c r="U91" s="534">
        <f t="shared" si="22"/>
        <v>2.4209458762464763E-3</v>
      </c>
      <c r="V91" s="533">
        <f t="shared" si="31"/>
        <v>3.1932276107691018E-4</v>
      </c>
      <c r="W91" s="533"/>
      <c r="X91" s="535">
        <v>0.1265</v>
      </c>
      <c r="Y91" s="535">
        <v>0.14000000000000001</v>
      </c>
      <c r="Z91" s="535">
        <v>0.13189999999999999</v>
      </c>
    </row>
    <row r="92" spans="1:26" ht="14.5">
      <c r="A92" s="509">
        <v>88</v>
      </c>
      <c r="B92" s="524" t="s">
        <v>679</v>
      </c>
      <c r="C92" s="525" t="s">
        <v>680</v>
      </c>
      <c r="D92" s="526">
        <v>23.12</v>
      </c>
      <c r="E92" s="527">
        <v>0.88</v>
      </c>
      <c r="F92" s="101">
        <f t="shared" si="23"/>
        <v>3.8062283737024222E-2</v>
      </c>
      <c r="G92" s="102" t="str">
        <f t="shared" si="16"/>
        <v>NMF</v>
      </c>
      <c r="H92" s="102">
        <f t="shared" si="17"/>
        <v>7.0000000000000007E-2</v>
      </c>
      <c r="I92" s="102" t="str">
        <f t="shared" si="18"/>
        <v>NMF</v>
      </c>
      <c r="J92" s="528">
        <v>763.26099999999997</v>
      </c>
      <c r="K92" s="529">
        <f t="shared" si="24"/>
        <v>17.646594319999998</v>
      </c>
      <c r="L92" s="530">
        <f t="shared" si="19"/>
        <v>4.3293583848446254E-4</v>
      </c>
      <c r="M92" s="531">
        <f t="shared" si="25"/>
        <v>1.6478526724322104E-5</v>
      </c>
      <c r="N92" s="532" t="str">
        <f t="shared" si="26"/>
        <v>--</v>
      </c>
      <c r="O92" s="533" t="str">
        <f t="shared" si="20"/>
        <v>--</v>
      </c>
      <c r="P92" s="533" t="str">
        <f t="shared" si="27"/>
        <v>--</v>
      </c>
      <c r="Q92" s="532">
        <f t="shared" si="28"/>
        <v>17.646594319999998</v>
      </c>
      <c r="R92" s="534">
        <f t="shared" si="21"/>
        <v>5.3139045564930775E-4</v>
      </c>
      <c r="S92" s="533">
        <f t="shared" si="29"/>
        <v>3.7197331895451548E-5</v>
      </c>
      <c r="T92" s="532" t="str">
        <f t="shared" si="30"/>
        <v>--</v>
      </c>
      <c r="U92" s="534" t="str">
        <f t="shared" si="22"/>
        <v>--</v>
      </c>
      <c r="V92" s="533" t="str">
        <f t="shared" si="31"/>
        <v>--</v>
      </c>
      <c r="W92" s="533"/>
      <c r="X92" s="535">
        <v>0.41399999999999998</v>
      </c>
      <c r="Y92" s="535">
        <v>7.0000000000000007E-2</v>
      </c>
      <c r="Z92" s="535">
        <v>0.20329999999999998</v>
      </c>
    </row>
    <row r="93" spans="1:26" ht="14.5">
      <c r="A93" s="509">
        <v>89</v>
      </c>
      <c r="B93" s="524" t="s">
        <v>681</v>
      </c>
      <c r="C93" s="525" t="s">
        <v>682</v>
      </c>
      <c r="D93" s="526">
        <v>79.209999999999994</v>
      </c>
      <c r="E93" s="527">
        <v>1.24</v>
      </c>
      <c r="F93" s="101">
        <f t="shared" si="23"/>
        <v>1.5654589067036991E-2</v>
      </c>
      <c r="G93" s="102">
        <f t="shared" si="16"/>
        <v>7.4050000000000005E-2</v>
      </c>
      <c r="H93" s="102">
        <f t="shared" si="17"/>
        <v>7.4999999999999997E-2</v>
      </c>
      <c r="I93" s="102">
        <f t="shared" si="18"/>
        <v>8.6300000000000002E-2</v>
      </c>
      <c r="J93" s="528">
        <v>492.94200000000001</v>
      </c>
      <c r="K93" s="529">
        <f t="shared" si="24"/>
        <v>39.045935819999997</v>
      </c>
      <c r="L93" s="530">
        <f t="shared" si="19"/>
        <v>9.5794036271822731E-4</v>
      </c>
      <c r="M93" s="531">
        <f t="shared" si="25"/>
        <v>1.499616272908221E-5</v>
      </c>
      <c r="N93" s="532">
        <f t="shared" si="26"/>
        <v>39.045935819999997</v>
      </c>
      <c r="O93" s="533">
        <f t="shared" si="20"/>
        <v>1.1663147945063079E-3</v>
      </c>
      <c r="P93" s="533">
        <f t="shared" si="27"/>
        <v>8.6365610533192108E-5</v>
      </c>
      <c r="Q93" s="532">
        <f t="shared" si="28"/>
        <v>39.045935819999997</v>
      </c>
      <c r="R93" s="534">
        <f t="shared" si="21"/>
        <v>1.1757870810872376E-3</v>
      </c>
      <c r="S93" s="533">
        <f t="shared" si="29"/>
        <v>8.8184031081542811E-5</v>
      </c>
      <c r="T93" s="532">
        <f t="shared" si="30"/>
        <v>39.045935819999997</v>
      </c>
      <c r="U93" s="534">
        <f t="shared" si="22"/>
        <v>1.0890578011156944E-3</v>
      </c>
      <c r="V93" s="533">
        <f t="shared" si="31"/>
        <v>9.3985688236284426E-5</v>
      </c>
      <c r="W93" s="533"/>
      <c r="X93" s="535">
        <v>7.4050000000000005E-2</v>
      </c>
      <c r="Y93" s="535">
        <v>7.4999999999999997E-2</v>
      </c>
      <c r="Z93" s="535">
        <v>8.6300000000000002E-2</v>
      </c>
    </row>
    <row r="94" spans="1:26" ht="14.5">
      <c r="A94" s="509">
        <v>90</v>
      </c>
      <c r="B94" s="524" t="s">
        <v>683</v>
      </c>
      <c r="C94" s="525" t="s">
        <v>684</v>
      </c>
      <c r="D94" s="526">
        <v>66.86</v>
      </c>
      <c r="E94" s="527">
        <v>0.71</v>
      </c>
      <c r="F94" s="101">
        <f t="shared" si="23"/>
        <v>1.0619204307508226E-2</v>
      </c>
      <c r="G94" s="102">
        <f t="shared" si="16"/>
        <v>0.12789999999999999</v>
      </c>
      <c r="H94" s="102">
        <f t="shared" si="17"/>
        <v>9.5000000000000001E-2</v>
      </c>
      <c r="I94" s="102">
        <f t="shared" si="18"/>
        <v>0.12839999999999999</v>
      </c>
      <c r="J94" s="528">
        <v>683.01499999999999</v>
      </c>
      <c r="K94" s="529">
        <f t="shared" si="24"/>
        <v>45.666382899999995</v>
      </c>
      <c r="L94" s="530">
        <f t="shared" si="19"/>
        <v>1.1203642704562396E-3</v>
      </c>
      <c r="M94" s="531">
        <f t="shared" si="25"/>
        <v>1.189737708680721E-5</v>
      </c>
      <c r="N94" s="532">
        <f t="shared" si="26"/>
        <v>45.666382899999995</v>
      </c>
      <c r="O94" s="533">
        <f t="shared" si="20"/>
        <v>1.3640697007082224E-3</v>
      </c>
      <c r="P94" s="533">
        <f t="shared" si="27"/>
        <v>1.7446451472058163E-4</v>
      </c>
      <c r="Q94" s="532">
        <f t="shared" si="28"/>
        <v>45.666382899999995</v>
      </c>
      <c r="R94" s="534">
        <f t="shared" si="21"/>
        <v>1.3751480640989064E-3</v>
      </c>
      <c r="S94" s="533">
        <f t="shared" si="29"/>
        <v>1.306390660893961E-4</v>
      </c>
      <c r="T94" s="532">
        <f t="shared" si="30"/>
        <v>45.666382899999995</v>
      </c>
      <c r="U94" s="534">
        <f t="shared" si="22"/>
        <v>1.2737133712263872E-3</v>
      </c>
      <c r="V94" s="533">
        <f t="shared" si="31"/>
        <v>1.6354479686546809E-4</v>
      </c>
      <c r="W94" s="533"/>
      <c r="X94" s="535">
        <v>0.12789999999999999</v>
      </c>
      <c r="Y94" s="535">
        <v>9.5000000000000001E-2</v>
      </c>
      <c r="Z94" s="535">
        <v>0.12839999999999999</v>
      </c>
    </row>
    <row r="95" spans="1:26" ht="14.5">
      <c r="A95" s="509">
        <v>91</v>
      </c>
      <c r="B95" s="524" t="s">
        <v>685</v>
      </c>
      <c r="C95" s="525" t="s">
        <v>686</v>
      </c>
      <c r="D95" s="526">
        <v>67.849999999999994</v>
      </c>
      <c r="E95" s="527">
        <v>2.85</v>
      </c>
      <c r="F95" s="101">
        <f t="shared" si="23"/>
        <v>4.2004421518054537E-2</v>
      </c>
      <c r="G95" s="102">
        <f t="shared" si="16"/>
        <v>0.16149999999999998</v>
      </c>
      <c r="H95" s="102">
        <f t="shared" si="17"/>
        <v>5.0000000000000001E-3</v>
      </c>
      <c r="I95" s="102">
        <f t="shared" si="18"/>
        <v>0.1143</v>
      </c>
      <c r="J95" s="528">
        <v>1265.019</v>
      </c>
      <c r="K95" s="529">
        <f t="shared" si="24"/>
        <v>85.831539149999998</v>
      </c>
      <c r="L95" s="530">
        <f t="shared" si="19"/>
        <v>2.1057632252701568E-3</v>
      </c>
      <c r="M95" s="531">
        <f t="shared" si="25"/>
        <v>8.8451366131465692E-5</v>
      </c>
      <c r="N95" s="532">
        <f t="shared" si="26"/>
        <v>85.831539149999998</v>
      </c>
      <c r="O95" s="533">
        <f t="shared" si="20"/>
        <v>2.563815973252101E-3</v>
      </c>
      <c r="P95" s="533">
        <f t="shared" si="27"/>
        <v>4.1405627968021426E-4</v>
      </c>
      <c r="Q95" s="532">
        <f t="shared" si="28"/>
        <v>85.831539149999998</v>
      </c>
      <c r="R95" s="534">
        <f t="shared" si="21"/>
        <v>2.5846381387204633E-3</v>
      </c>
      <c r="S95" s="533">
        <f t="shared" si="29"/>
        <v>1.2923190693602317E-5</v>
      </c>
      <c r="T95" s="532">
        <f t="shared" si="30"/>
        <v>85.831539149999998</v>
      </c>
      <c r="U95" s="534">
        <f t="shared" si="22"/>
        <v>2.3939881406349825E-3</v>
      </c>
      <c r="V95" s="533">
        <f t="shared" si="31"/>
        <v>2.7363284447457848E-4</v>
      </c>
      <c r="W95" s="533"/>
      <c r="X95" s="535">
        <v>0.16149999999999998</v>
      </c>
      <c r="Y95" s="535">
        <v>5.0000000000000001E-3</v>
      </c>
      <c r="Z95" s="535">
        <v>0.1143</v>
      </c>
    </row>
    <row r="96" spans="1:26" ht="14.5">
      <c r="A96" s="509">
        <v>92</v>
      </c>
      <c r="B96" s="524" t="s">
        <v>687</v>
      </c>
      <c r="C96" s="525" t="s">
        <v>688</v>
      </c>
      <c r="D96" s="526">
        <v>137.04</v>
      </c>
      <c r="E96" s="527">
        <v>6.84</v>
      </c>
      <c r="F96" s="101">
        <f t="shared" si="23"/>
        <v>4.9912434325744312E-2</v>
      </c>
      <c r="G96" s="102">
        <f t="shared" si="16"/>
        <v>4.0999999999999995E-2</v>
      </c>
      <c r="H96" s="102">
        <f t="shared" si="17"/>
        <v>0.04</v>
      </c>
      <c r="I96" s="102">
        <f t="shared" si="18"/>
        <v>8.2599999999999993E-2</v>
      </c>
      <c r="J96" s="528">
        <v>1746.7190000000001</v>
      </c>
      <c r="K96" s="529">
        <f t="shared" si="24"/>
        <v>239.37037175999998</v>
      </c>
      <c r="L96" s="530">
        <f t="shared" si="19"/>
        <v>5.8726352930775095E-3</v>
      </c>
      <c r="M96" s="531">
        <f t="shared" si="25"/>
        <v>2.9311752338477938E-4</v>
      </c>
      <c r="N96" s="532">
        <f t="shared" si="26"/>
        <v>239.37037175999998</v>
      </c>
      <c r="O96" s="533">
        <f t="shared" si="20"/>
        <v>7.1500708098577951E-3</v>
      </c>
      <c r="P96" s="533">
        <f t="shared" si="27"/>
        <v>2.9315290320416958E-4</v>
      </c>
      <c r="Q96" s="532">
        <f t="shared" si="28"/>
        <v>239.37037175999998</v>
      </c>
      <c r="R96" s="534">
        <f t="shared" si="21"/>
        <v>7.2081404837605282E-3</v>
      </c>
      <c r="S96" s="533">
        <f t="shared" si="29"/>
        <v>2.8832561935042113E-4</v>
      </c>
      <c r="T96" s="532">
        <f t="shared" si="30"/>
        <v>239.37037175999998</v>
      </c>
      <c r="U96" s="534">
        <f t="shared" si="22"/>
        <v>6.6764482716703891E-3</v>
      </c>
      <c r="V96" s="533">
        <f t="shared" si="31"/>
        <v>5.5147462723997408E-4</v>
      </c>
      <c r="W96" s="533"/>
      <c r="X96" s="535">
        <v>4.0999999999999995E-2</v>
      </c>
      <c r="Y96" s="535">
        <v>0.04</v>
      </c>
      <c r="Z96" s="535">
        <v>8.2599999999999993E-2</v>
      </c>
    </row>
    <row r="97" spans="1:26" ht="14.5">
      <c r="A97" s="509">
        <v>93</v>
      </c>
      <c r="B97" s="524" t="s">
        <v>689</v>
      </c>
      <c r="C97" s="525" t="s">
        <v>138</v>
      </c>
      <c r="D97" s="526">
        <v>55</v>
      </c>
      <c r="E97" s="527">
        <v>2.67</v>
      </c>
      <c r="F97" s="101">
        <f t="shared" si="23"/>
        <v>4.8545454545454544E-2</v>
      </c>
      <c r="G97" s="102">
        <f t="shared" si="16"/>
        <v>0.154</v>
      </c>
      <c r="H97" s="102">
        <f t="shared" si="17"/>
        <v>0.06</v>
      </c>
      <c r="I97" s="102">
        <f t="shared" si="18"/>
        <v>0.13589999999999999</v>
      </c>
      <c r="J97" s="528">
        <v>852.21500000000003</v>
      </c>
      <c r="K97" s="529">
        <f t="shared" si="24"/>
        <v>46.871825000000001</v>
      </c>
      <c r="L97" s="530">
        <f t="shared" si="19"/>
        <v>1.1499381971213126E-3</v>
      </c>
      <c r="M97" s="531">
        <f t="shared" si="25"/>
        <v>5.5824272478434631E-5</v>
      </c>
      <c r="N97" s="532">
        <f t="shared" si="26"/>
        <v>46.871825000000001</v>
      </c>
      <c r="O97" s="533">
        <f t="shared" si="20"/>
        <v>1.4000766480543436E-3</v>
      </c>
      <c r="P97" s="533">
        <f t="shared" si="27"/>
        <v>2.156118038003689E-4</v>
      </c>
      <c r="Q97" s="532">
        <f t="shared" si="28"/>
        <v>46.871825000000001</v>
      </c>
      <c r="R97" s="534">
        <f t="shared" si="21"/>
        <v>1.4114474437504163E-3</v>
      </c>
      <c r="S97" s="533">
        <f t="shared" si="29"/>
        <v>8.4686846625024978E-5</v>
      </c>
      <c r="T97" s="532">
        <f t="shared" si="30"/>
        <v>46.871825000000001</v>
      </c>
      <c r="U97" s="534">
        <f t="shared" si="22"/>
        <v>1.3073352090752794E-3</v>
      </c>
      <c r="V97" s="533">
        <f t="shared" si="31"/>
        <v>1.7766685491333047E-4</v>
      </c>
      <c r="W97" s="533"/>
      <c r="X97" s="535">
        <v>0.154</v>
      </c>
      <c r="Y97" s="535">
        <v>0.06</v>
      </c>
      <c r="Z97" s="535">
        <v>0.13589999999999999</v>
      </c>
    </row>
    <row r="98" spans="1:26" ht="14.5">
      <c r="A98" s="509">
        <v>94</v>
      </c>
      <c r="B98" s="524" t="s">
        <v>1525</v>
      </c>
      <c r="C98" s="525" t="s">
        <v>1526</v>
      </c>
      <c r="D98" s="526">
        <v>48.54</v>
      </c>
      <c r="E98" s="527">
        <v>0.6</v>
      </c>
      <c r="F98" s="101">
        <f t="shared" si="23"/>
        <v>1.2360939431396786E-2</v>
      </c>
      <c r="G98" s="102">
        <f t="shared" si="16"/>
        <v>4.8600000000000004E-2</v>
      </c>
      <c r="H98" s="102" t="str">
        <f t="shared" si="17"/>
        <v>NMF</v>
      </c>
      <c r="I98" s="102">
        <f t="shared" si="18"/>
        <v>3.8900000000000004E-2</v>
      </c>
      <c r="J98" s="528">
        <v>652.95299999999997</v>
      </c>
      <c r="K98" s="529">
        <f t="shared" si="24"/>
        <v>31.69433862</v>
      </c>
      <c r="L98" s="530">
        <f t="shared" si="19"/>
        <v>7.7757865437574046E-4</v>
      </c>
      <c r="M98" s="531">
        <f t="shared" si="25"/>
        <v>9.6116026498855427E-6</v>
      </c>
      <c r="N98" s="532">
        <f t="shared" si="26"/>
        <v>31.69433862</v>
      </c>
      <c r="O98" s="533">
        <f t="shared" si="20"/>
        <v>9.4672019656561108E-4</v>
      </c>
      <c r="P98" s="533">
        <f t="shared" si="27"/>
        <v>4.6010601553088702E-5</v>
      </c>
      <c r="Q98" s="532" t="str">
        <f t="shared" si="28"/>
        <v>--</v>
      </c>
      <c r="R98" s="534" t="str">
        <f t="shared" si="21"/>
        <v>--</v>
      </c>
      <c r="S98" s="533" t="str">
        <f t="shared" si="29"/>
        <v>--</v>
      </c>
      <c r="T98" s="532">
        <f t="shared" si="30"/>
        <v>31.69433862</v>
      </c>
      <c r="U98" s="534">
        <f t="shared" si="22"/>
        <v>8.8400920609087445E-4</v>
      </c>
      <c r="V98" s="533">
        <f t="shared" si="31"/>
        <v>3.4387958116935021E-5</v>
      </c>
      <c r="W98" s="533"/>
      <c r="X98" s="535">
        <v>4.8600000000000004E-2</v>
      </c>
      <c r="Y98" s="535">
        <v>0.28000000000000003</v>
      </c>
      <c r="Z98" s="535">
        <v>3.8900000000000004E-2</v>
      </c>
    </row>
    <row r="99" spans="1:26" ht="14.5">
      <c r="A99" s="509">
        <v>95</v>
      </c>
      <c r="B99" s="524" t="s">
        <v>690</v>
      </c>
      <c r="C99" s="525" t="s">
        <v>691</v>
      </c>
      <c r="D99" s="526">
        <v>66.25</v>
      </c>
      <c r="E99" s="527">
        <v>1.66</v>
      </c>
      <c r="F99" s="101">
        <f t="shared" si="23"/>
        <v>2.5056603773584905E-2</v>
      </c>
      <c r="G99" s="102">
        <f t="shared" si="16"/>
        <v>7.4029999999999999E-2</v>
      </c>
      <c r="H99" s="102">
        <f t="shared" si="17"/>
        <v>0.105</v>
      </c>
      <c r="I99" s="102">
        <f t="shared" si="18"/>
        <v>8.43E-2</v>
      </c>
      <c r="J99" s="528">
        <v>418.49900000000002</v>
      </c>
      <c r="K99" s="529">
        <f t="shared" si="24"/>
        <v>27.725558750000001</v>
      </c>
      <c r="L99" s="530">
        <f t="shared" si="19"/>
        <v>6.8020989247071211E-4</v>
      </c>
      <c r="M99" s="531">
        <f t="shared" si="25"/>
        <v>1.7043749758511426E-5</v>
      </c>
      <c r="N99" s="532">
        <f t="shared" si="26"/>
        <v>27.725558750000001</v>
      </c>
      <c r="O99" s="533">
        <f t="shared" si="20"/>
        <v>8.2817145182919108E-4</v>
      </c>
      <c r="P99" s="533">
        <f t="shared" si="27"/>
        <v>6.1309532578915016E-5</v>
      </c>
      <c r="Q99" s="532">
        <f t="shared" si="28"/>
        <v>27.725558750000001</v>
      </c>
      <c r="R99" s="534">
        <f t="shared" si="21"/>
        <v>8.3489748957373629E-4</v>
      </c>
      <c r="S99" s="533">
        <f t="shared" si="29"/>
        <v>8.7664236405242312E-5</v>
      </c>
      <c r="T99" s="532">
        <f t="shared" si="30"/>
        <v>27.725558750000001</v>
      </c>
      <c r="U99" s="534">
        <f t="shared" si="22"/>
        <v>7.7331316084151185E-4</v>
      </c>
      <c r="V99" s="533">
        <f t="shared" si="31"/>
        <v>6.5190299458939448E-5</v>
      </c>
      <c r="W99" s="533"/>
      <c r="X99" s="535">
        <v>7.4029999999999999E-2</v>
      </c>
      <c r="Y99" s="535">
        <v>0.105</v>
      </c>
      <c r="Z99" s="535">
        <v>8.43E-2</v>
      </c>
    </row>
    <row r="100" spans="1:26" ht="14.5">
      <c r="A100" s="509">
        <v>96</v>
      </c>
      <c r="B100" s="524" t="s">
        <v>692</v>
      </c>
      <c r="C100" s="525" t="s">
        <v>212</v>
      </c>
      <c r="D100" s="526">
        <v>489.99</v>
      </c>
      <c r="E100" s="527">
        <v>7.28</v>
      </c>
      <c r="F100" s="101">
        <f t="shared" si="23"/>
        <v>1.4857446070327966E-2</v>
      </c>
      <c r="G100" s="102" t="str">
        <f t="shared" si="16"/>
        <v>NMF</v>
      </c>
      <c r="H100" s="102">
        <f t="shared" si="17"/>
        <v>0.03</v>
      </c>
      <c r="I100" s="102">
        <f t="shared" si="18"/>
        <v>0.12</v>
      </c>
      <c r="J100" s="528">
        <v>271.41399999999999</v>
      </c>
      <c r="K100" s="529">
        <f t="shared" si="24"/>
        <v>132.99014585999998</v>
      </c>
      <c r="L100" s="530">
        <f t="shared" si="19"/>
        <v>3.2627372321250296E-3</v>
      </c>
      <c r="M100" s="531">
        <f t="shared" si="25"/>
        <v>4.8475942467948762E-5</v>
      </c>
      <c r="N100" s="532" t="str">
        <f t="shared" si="26"/>
        <v>--</v>
      </c>
      <c r="O100" s="533" t="str">
        <f t="shared" si="20"/>
        <v>--</v>
      </c>
      <c r="P100" s="533" t="str">
        <f t="shared" si="27"/>
        <v>--</v>
      </c>
      <c r="Q100" s="532">
        <f t="shared" si="28"/>
        <v>132.99014585999998</v>
      </c>
      <c r="R100" s="534">
        <f t="shared" si="21"/>
        <v>4.0047214167165885E-3</v>
      </c>
      <c r="S100" s="533">
        <f t="shared" si="29"/>
        <v>1.2014164250149764E-4</v>
      </c>
      <c r="T100" s="532">
        <f t="shared" si="30"/>
        <v>132.99014585999998</v>
      </c>
      <c r="U100" s="534">
        <f t="shared" si="22"/>
        <v>3.7093221811362155E-3</v>
      </c>
      <c r="V100" s="533">
        <f t="shared" si="31"/>
        <v>4.4511866173634583E-4</v>
      </c>
      <c r="W100" s="533"/>
      <c r="X100" s="535">
        <v>-2.35E-2</v>
      </c>
      <c r="Y100" s="535">
        <v>0.03</v>
      </c>
      <c r="Z100" s="535">
        <v>0.12</v>
      </c>
    </row>
    <row r="101" spans="1:26" ht="14.5">
      <c r="A101" s="509">
        <v>97</v>
      </c>
      <c r="B101" s="524" t="s">
        <v>1316</v>
      </c>
      <c r="C101" s="525" t="s">
        <v>1317</v>
      </c>
      <c r="D101" s="526">
        <v>96.22</v>
      </c>
      <c r="E101" s="527">
        <v>2.1</v>
      </c>
      <c r="F101" s="101">
        <f t="shared" si="23"/>
        <v>2.1824984410725421E-2</v>
      </c>
      <c r="G101" s="102">
        <f t="shared" si="16"/>
        <v>0.11199999999999999</v>
      </c>
      <c r="H101" s="102">
        <f t="shared" si="17"/>
        <v>8.5000000000000006E-2</v>
      </c>
      <c r="I101" s="102">
        <f t="shared" si="18"/>
        <v>0.12300000000000001</v>
      </c>
      <c r="J101" s="528">
        <v>697.84100000000001</v>
      </c>
      <c r="K101" s="529">
        <f t="shared" si="24"/>
        <v>67.146261020000011</v>
      </c>
      <c r="L101" s="530">
        <f t="shared" si="19"/>
        <v>1.647344654081122E-3</v>
      </c>
      <c r="M101" s="531">
        <f t="shared" si="25"/>
        <v>3.5953271394412348E-5</v>
      </c>
      <c r="N101" s="532">
        <f t="shared" si="26"/>
        <v>67.146261020000011</v>
      </c>
      <c r="O101" s="533">
        <f t="shared" si="20"/>
        <v>2.0056806420117763E-3</v>
      </c>
      <c r="P101" s="533">
        <f t="shared" si="27"/>
        <v>2.2463623190531893E-4</v>
      </c>
      <c r="Q101" s="532">
        <f t="shared" si="28"/>
        <v>67.146261020000011</v>
      </c>
      <c r="R101" s="534">
        <f t="shared" si="21"/>
        <v>2.0219698822070025E-3</v>
      </c>
      <c r="S101" s="533">
        <f t="shared" si="29"/>
        <v>1.7186743998759524E-4</v>
      </c>
      <c r="T101" s="532">
        <f t="shared" si="30"/>
        <v>67.146261020000011</v>
      </c>
      <c r="U101" s="534">
        <f t="shared" si="22"/>
        <v>1.8728238379709986E-3</v>
      </c>
      <c r="V101" s="533">
        <f t="shared" si="31"/>
        <v>2.3035733207043285E-4</v>
      </c>
      <c r="W101" s="533"/>
      <c r="X101" s="535">
        <v>0.11199999999999999</v>
      </c>
      <c r="Y101" s="535">
        <v>8.5000000000000006E-2</v>
      </c>
      <c r="Z101" s="535">
        <v>0.12300000000000001</v>
      </c>
    </row>
    <row r="102" spans="1:26" ht="14.5">
      <c r="A102" s="509">
        <v>98</v>
      </c>
      <c r="B102" s="524" t="s">
        <v>693</v>
      </c>
      <c r="C102" s="525" t="s">
        <v>694</v>
      </c>
      <c r="D102" s="526">
        <v>192.03</v>
      </c>
      <c r="E102" s="527">
        <v>2.8</v>
      </c>
      <c r="F102" s="101">
        <f t="shared" si="23"/>
        <v>1.4581055043482788E-2</v>
      </c>
      <c r="G102" s="102">
        <f t="shared" si="16"/>
        <v>1.6E-2</v>
      </c>
      <c r="H102" s="102">
        <f t="shared" si="17"/>
        <v>5.0000000000000001E-3</v>
      </c>
      <c r="I102" s="102">
        <f t="shared" si="18"/>
        <v>7.5300000000000006E-2</v>
      </c>
      <c r="J102" s="528">
        <v>251.65299999999999</v>
      </c>
      <c r="K102" s="529">
        <f t="shared" si="24"/>
        <v>48.324925589999999</v>
      </c>
      <c r="L102" s="530">
        <f t="shared" si="19"/>
        <v>1.1855880970921483E-3</v>
      </c>
      <c r="M102" s="531">
        <f t="shared" si="25"/>
        <v>1.7287125302598632E-5</v>
      </c>
      <c r="N102" s="532">
        <f t="shared" si="26"/>
        <v>48.324925589999999</v>
      </c>
      <c r="O102" s="533">
        <f t="shared" si="20"/>
        <v>1.443481234996136E-3</v>
      </c>
      <c r="P102" s="533">
        <f t="shared" si="27"/>
        <v>2.3095699759938177E-5</v>
      </c>
      <c r="Q102" s="532">
        <f t="shared" si="28"/>
        <v>48.324925589999999</v>
      </c>
      <c r="R102" s="534">
        <f t="shared" si="21"/>
        <v>1.4552045433143383E-3</v>
      </c>
      <c r="S102" s="533">
        <f t="shared" si="29"/>
        <v>7.2760227165716915E-6</v>
      </c>
      <c r="T102" s="532">
        <f t="shared" si="30"/>
        <v>48.324925589999999</v>
      </c>
      <c r="U102" s="534">
        <f t="shared" si="22"/>
        <v>1.3478646649613061E-3</v>
      </c>
      <c r="V102" s="533">
        <f t="shared" si="31"/>
        <v>1.0149420927158636E-4</v>
      </c>
      <c r="W102" s="533"/>
      <c r="X102" s="535">
        <v>1.6E-2</v>
      </c>
      <c r="Y102" s="535">
        <v>5.0000000000000001E-3</v>
      </c>
      <c r="Z102" s="535">
        <v>7.5300000000000006E-2</v>
      </c>
    </row>
    <row r="103" spans="1:26" ht="14.5">
      <c r="A103" s="509">
        <v>99</v>
      </c>
      <c r="B103" s="524" t="s">
        <v>695</v>
      </c>
      <c r="C103" s="525" t="s">
        <v>696</v>
      </c>
      <c r="D103" s="526">
        <v>91.97</v>
      </c>
      <c r="E103" s="527">
        <v>2.36</v>
      </c>
      <c r="F103" s="101">
        <f t="shared" si="23"/>
        <v>2.566054148091769E-2</v>
      </c>
      <c r="G103" s="102">
        <f t="shared" si="16"/>
        <v>2.9329999999999998E-2</v>
      </c>
      <c r="H103" s="102">
        <f t="shared" si="17"/>
        <v>1.4999999999999999E-2</v>
      </c>
      <c r="I103" s="102">
        <f t="shared" si="18"/>
        <v>6.1399999999999996E-2</v>
      </c>
      <c r="J103" s="528">
        <v>219.947</v>
      </c>
      <c r="K103" s="529">
        <f t="shared" si="24"/>
        <v>20.22852559</v>
      </c>
      <c r="L103" s="530">
        <f t="shared" si="19"/>
        <v>4.9628010531672147E-4</v>
      </c>
      <c r="M103" s="531">
        <f t="shared" si="25"/>
        <v>1.2734816228633931E-5</v>
      </c>
      <c r="N103" s="532">
        <f t="shared" si="26"/>
        <v>20.22852559</v>
      </c>
      <c r="O103" s="533">
        <f t="shared" si="20"/>
        <v>6.0423263449052198E-4</v>
      </c>
      <c r="P103" s="533">
        <f t="shared" si="27"/>
        <v>1.772214316960701E-5</v>
      </c>
      <c r="Q103" s="532">
        <f t="shared" si="28"/>
        <v>20.22852559</v>
      </c>
      <c r="R103" s="534">
        <f t="shared" si="21"/>
        <v>6.0913994142206712E-4</v>
      </c>
      <c r="S103" s="533">
        <f t="shared" si="29"/>
        <v>9.1370991213310067E-6</v>
      </c>
      <c r="T103" s="532">
        <f t="shared" si="30"/>
        <v>20.22852559</v>
      </c>
      <c r="U103" s="534">
        <f t="shared" si="22"/>
        <v>5.6420810863428707E-4</v>
      </c>
      <c r="V103" s="533">
        <f t="shared" si="31"/>
        <v>3.4642377870145226E-5</v>
      </c>
      <c r="W103" s="533"/>
      <c r="X103" s="535">
        <v>2.9329999999999998E-2</v>
      </c>
      <c r="Y103" s="535">
        <v>1.4999999999999999E-2</v>
      </c>
      <c r="Z103" s="535">
        <v>6.1399999999999996E-2</v>
      </c>
    </row>
    <row r="104" spans="1:26" ht="14.5">
      <c r="A104" s="509">
        <v>100</v>
      </c>
      <c r="B104" s="524" t="s">
        <v>697</v>
      </c>
      <c r="C104" s="525" t="s">
        <v>698</v>
      </c>
      <c r="D104" s="526">
        <v>175.9</v>
      </c>
      <c r="E104" s="527">
        <v>3.2</v>
      </c>
      <c r="F104" s="101">
        <f t="shared" si="23"/>
        <v>1.8192154633314382E-2</v>
      </c>
      <c r="G104" s="102">
        <f t="shared" si="16"/>
        <v>7.9430000000000001E-2</v>
      </c>
      <c r="H104" s="102">
        <f t="shared" si="17"/>
        <v>3.5000000000000003E-2</v>
      </c>
      <c r="I104" s="102">
        <f t="shared" si="18"/>
        <v>7.3899999999999993E-2</v>
      </c>
      <c r="J104" s="528">
        <v>111.63500000000001</v>
      </c>
      <c r="K104" s="529">
        <f t="shared" si="24"/>
        <v>19.636596500000003</v>
      </c>
      <c r="L104" s="530">
        <f t="shared" si="19"/>
        <v>4.8175790844091692E-4</v>
      </c>
      <c r="M104" s="531">
        <f t="shared" si="25"/>
        <v>8.7642143661792734E-6</v>
      </c>
      <c r="N104" s="532">
        <f t="shared" si="26"/>
        <v>19.636596500000003</v>
      </c>
      <c r="O104" s="533">
        <f t="shared" si="20"/>
        <v>5.8655152017050025E-4</v>
      </c>
      <c r="P104" s="533">
        <f t="shared" si="27"/>
        <v>4.6589787247142838E-5</v>
      </c>
      <c r="Q104" s="532">
        <f t="shared" si="28"/>
        <v>19.636596500000003</v>
      </c>
      <c r="R104" s="534">
        <f t="shared" si="21"/>
        <v>5.9131522900769012E-4</v>
      </c>
      <c r="S104" s="533">
        <f t="shared" si="29"/>
        <v>2.0696033015269155E-5</v>
      </c>
      <c r="T104" s="532">
        <f t="shared" si="30"/>
        <v>19.636596500000003</v>
      </c>
      <c r="U104" s="534">
        <f t="shared" si="22"/>
        <v>5.4769819589602932E-4</v>
      </c>
      <c r="V104" s="533">
        <f t="shared" si="31"/>
        <v>4.0474896676716567E-5</v>
      </c>
      <c r="W104" s="533"/>
      <c r="X104" s="535">
        <v>7.9430000000000001E-2</v>
      </c>
      <c r="Y104" s="535">
        <v>3.5000000000000003E-2</v>
      </c>
      <c r="Z104" s="535">
        <v>7.3899999999999993E-2</v>
      </c>
    </row>
    <row r="105" spans="1:26" ht="14.5">
      <c r="A105" s="509">
        <v>101</v>
      </c>
      <c r="B105" s="524" t="s">
        <v>699</v>
      </c>
      <c r="C105" s="525" t="s">
        <v>700</v>
      </c>
      <c r="D105" s="526">
        <v>123.84</v>
      </c>
      <c r="E105" s="527">
        <v>1.64</v>
      </c>
      <c r="F105" s="101">
        <f t="shared" si="23"/>
        <v>1.3242894056847544E-2</v>
      </c>
      <c r="G105" s="102">
        <f t="shared" si="16"/>
        <v>1.6E-2</v>
      </c>
      <c r="H105" s="102">
        <f t="shared" si="17"/>
        <v>3.5000000000000003E-2</v>
      </c>
      <c r="I105" s="102">
        <f t="shared" si="18"/>
        <v>2.7900000000000001E-2</v>
      </c>
      <c r="J105" s="528">
        <v>307.18099999999998</v>
      </c>
      <c r="K105" s="529">
        <f t="shared" si="24"/>
        <v>38.041295039999994</v>
      </c>
      <c r="L105" s="530">
        <f t="shared" si="19"/>
        <v>9.3329283070282679E-4</v>
      </c>
      <c r="M105" s="531">
        <f t="shared" si="25"/>
        <v>1.2359498081012886E-5</v>
      </c>
      <c r="N105" s="532">
        <f t="shared" si="26"/>
        <v>38.041295039999994</v>
      </c>
      <c r="O105" s="533">
        <f t="shared" si="20"/>
        <v>1.1363058478574177E-3</v>
      </c>
      <c r="P105" s="533">
        <f t="shared" si="27"/>
        <v>1.8180893565718684E-5</v>
      </c>
      <c r="Q105" s="532">
        <f t="shared" si="28"/>
        <v>38.041295039999994</v>
      </c>
      <c r="R105" s="534">
        <f t="shared" si="21"/>
        <v>1.1455344152092089E-3</v>
      </c>
      <c r="S105" s="533">
        <f t="shared" si="29"/>
        <v>4.0093704532322317E-5</v>
      </c>
      <c r="T105" s="532">
        <f t="shared" si="30"/>
        <v>38.041295039999994</v>
      </c>
      <c r="U105" s="534">
        <f t="shared" si="22"/>
        <v>1.0610366548478277E-3</v>
      </c>
      <c r="V105" s="533">
        <f t="shared" si="31"/>
        <v>2.9602922670254394E-5</v>
      </c>
      <c r="W105" s="533"/>
      <c r="X105" s="535">
        <v>1.6E-2</v>
      </c>
      <c r="Y105" s="535">
        <v>3.5000000000000003E-2</v>
      </c>
      <c r="Z105" s="535">
        <v>2.7900000000000001E-2</v>
      </c>
    </row>
    <row r="106" spans="1:26" ht="14.5">
      <c r="A106" s="509">
        <v>102</v>
      </c>
      <c r="B106" s="524" t="s">
        <v>701</v>
      </c>
      <c r="C106" s="525" t="s">
        <v>702</v>
      </c>
      <c r="D106" s="526">
        <v>194.82</v>
      </c>
      <c r="E106" s="527">
        <v>1.28</v>
      </c>
      <c r="F106" s="101">
        <f t="shared" si="23"/>
        <v>6.5701673339492866E-3</v>
      </c>
      <c r="G106" s="102">
        <f t="shared" si="16"/>
        <v>7.8100000000000003E-2</v>
      </c>
      <c r="H106" s="102">
        <f t="shared" si="17"/>
        <v>1.4999999999999999E-2</v>
      </c>
      <c r="I106" s="102">
        <f t="shared" si="18"/>
        <v>9.4299999999999995E-2</v>
      </c>
      <c r="J106" s="528">
        <v>715.67</v>
      </c>
      <c r="K106" s="529">
        <f t="shared" si="24"/>
        <v>139.42682939999997</v>
      </c>
      <c r="L106" s="530">
        <f t="shared" si="19"/>
        <v>3.4206527445982057E-3</v>
      </c>
      <c r="M106" s="531">
        <f t="shared" si="25"/>
        <v>2.2474260923343104E-5</v>
      </c>
      <c r="N106" s="532">
        <f t="shared" si="26"/>
        <v>139.42682939999997</v>
      </c>
      <c r="O106" s="533">
        <f t="shared" si="20"/>
        <v>4.164724713731474E-3</v>
      </c>
      <c r="P106" s="533">
        <f t="shared" si="27"/>
        <v>3.2526500014242815E-4</v>
      </c>
      <c r="Q106" s="532">
        <f t="shared" si="28"/>
        <v>139.42682939999997</v>
      </c>
      <c r="R106" s="534">
        <f t="shared" si="21"/>
        <v>4.1985487432344565E-3</v>
      </c>
      <c r="S106" s="533">
        <f t="shared" si="29"/>
        <v>6.297823114851685E-5</v>
      </c>
      <c r="T106" s="532">
        <f t="shared" si="30"/>
        <v>139.42682939999997</v>
      </c>
      <c r="U106" s="534">
        <f t="shared" si="22"/>
        <v>3.8888522724334351E-3</v>
      </c>
      <c r="V106" s="533">
        <f t="shared" si="31"/>
        <v>3.6671876929047294E-4</v>
      </c>
      <c r="W106" s="533"/>
      <c r="X106" s="535">
        <v>7.8100000000000003E-2</v>
      </c>
      <c r="Y106" s="535">
        <v>1.4999999999999999E-2</v>
      </c>
      <c r="Z106" s="535">
        <v>9.4299999999999995E-2</v>
      </c>
    </row>
    <row r="107" spans="1:26" ht="14.5">
      <c r="A107" s="509">
        <v>103</v>
      </c>
      <c r="B107" s="524" t="s">
        <v>703</v>
      </c>
      <c r="C107" s="525" t="s">
        <v>704</v>
      </c>
      <c r="D107" s="526">
        <v>105.12</v>
      </c>
      <c r="E107" s="527">
        <v>1</v>
      </c>
      <c r="F107" s="101">
        <f t="shared" si="23"/>
        <v>9.5129375951293754E-3</v>
      </c>
      <c r="G107" s="102">
        <f t="shared" si="16"/>
        <v>0.12890000000000001</v>
      </c>
      <c r="H107" s="102" t="str">
        <f t="shared" si="17"/>
        <v>NMF</v>
      </c>
      <c r="I107" s="102">
        <f t="shared" si="18"/>
        <v>0.1124</v>
      </c>
      <c r="J107" s="528">
        <v>1807.789</v>
      </c>
      <c r="K107" s="529">
        <f t="shared" si="24"/>
        <v>190.03477968000001</v>
      </c>
      <c r="L107" s="530">
        <f t="shared" si="19"/>
        <v>4.6622518311494176E-3</v>
      </c>
      <c r="M107" s="531">
        <f t="shared" si="25"/>
        <v>4.4351710722502067E-5</v>
      </c>
      <c r="N107" s="532">
        <f t="shared" si="26"/>
        <v>190.03477968000001</v>
      </c>
      <c r="O107" s="533">
        <f t="shared" si="20"/>
        <v>5.6764006382964624E-3</v>
      </c>
      <c r="P107" s="533">
        <f t="shared" si="27"/>
        <v>7.3168804227641412E-4</v>
      </c>
      <c r="Q107" s="532" t="str">
        <f t="shared" si="28"/>
        <v>--</v>
      </c>
      <c r="R107" s="534" t="str">
        <f t="shared" si="21"/>
        <v>--</v>
      </c>
      <c r="S107" s="533" t="str">
        <f t="shared" si="29"/>
        <v>--</v>
      </c>
      <c r="T107" s="532">
        <f t="shared" si="30"/>
        <v>190.03477968000001</v>
      </c>
      <c r="U107" s="534">
        <f t="shared" si="22"/>
        <v>5.3003943931034794E-3</v>
      </c>
      <c r="V107" s="533">
        <f t="shared" si="31"/>
        <v>5.957643297848311E-4</v>
      </c>
      <c r="W107" s="533"/>
      <c r="X107" s="535">
        <v>0.12890000000000001</v>
      </c>
      <c r="Y107" s="535">
        <v>0.25</v>
      </c>
      <c r="Z107" s="535">
        <v>0.1124</v>
      </c>
    </row>
    <row r="108" spans="1:26" ht="14.5">
      <c r="A108" s="509">
        <v>104</v>
      </c>
      <c r="B108" s="524" t="s">
        <v>705</v>
      </c>
      <c r="C108" s="525" t="s">
        <v>706</v>
      </c>
      <c r="D108" s="526">
        <v>166.7</v>
      </c>
      <c r="E108" s="527">
        <v>4.96</v>
      </c>
      <c r="F108" s="101">
        <f t="shared" si="23"/>
        <v>2.9754049190161971E-2</v>
      </c>
      <c r="G108" s="102">
        <f t="shared" si="16"/>
        <v>0.13789999999999999</v>
      </c>
      <c r="H108" s="102">
        <f t="shared" si="17"/>
        <v>0.08</v>
      </c>
      <c r="I108" s="102">
        <f t="shared" si="18"/>
        <v>8.8000000000000009E-2</v>
      </c>
      <c r="J108" s="528">
        <v>336.74900000000002</v>
      </c>
      <c r="K108" s="529">
        <f t="shared" si="24"/>
        <v>56.136058299999995</v>
      </c>
      <c r="L108" s="530">
        <f t="shared" si="19"/>
        <v>1.3772239010322062E-3</v>
      </c>
      <c r="M108" s="531">
        <f t="shared" si="25"/>
        <v>4.0977987697179027E-5</v>
      </c>
      <c r="N108" s="532">
        <f t="shared" si="26"/>
        <v>56.136058299999995</v>
      </c>
      <c r="O108" s="533">
        <f t="shared" si="20"/>
        <v>1.6768023079888014E-3</v>
      </c>
      <c r="P108" s="533">
        <f t="shared" si="27"/>
        <v>2.3123103827165571E-4</v>
      </c>
      <c r="Q108" s="532">
        <f t="shared" si="28"/>
        <v>56.136058299999995</v>
      </c>
      <c r="R108" s="534">
        <f t="shared" si="21"/>
        <v>1.6904205455998212E-3</v>
      </c>
      <c r="S108" s="533">
        <f t="shared" si="29"/>
        <v>1.352336436479857E-4</v>
      </c>
      <c r="T108" s="532">
        <f t="shared" si="30"/>
        <v>56.136058299999995</v>
      </c>
      <c r="U108" s="534">
        <f t="shared" si="22"/>
        <v>1.5657304897834161E-3</v>
      </c>
      <c r="V108" s="533">
        <f t="shared" si="31"/>
        <v>1.3778428310094062E-4</v>
      </c>
      <c r="W108" s="533"/>
      <c r="X108" s="535">
        <v>0.13789999999999999</v>
      </c>
      <c r="Y108" s="535">
        <v>0.08</v>
      </c>
      <c r="Z108" s="535">
        <v>8.8000000000000009E-2</v>
      </c>
    </row>
    <row r="109" spans="1:26" ht="14.5">
      <c r="A109" s="509">
        <v>105</v>
      </c>
      <c r="B109" s="524" t="s">
        <v>1014</v>
      </c>
      <c r="C109" s="525" t="s">
        <v>1318</v>
      </c>
      <c r="D109" s="526">
        <v>17.39</v>
      </c>
      <c r="E109" s="527">
        <v>1.22</v>
      </c>
      <c r="F109" s="101">
        <f t="shared" si="23"/>
        <v>7.0155261644623337E-2</v>
      </c>
      <c r="G109" s="102" t="str">
        <f t="shared" si="16"/>
        <v>NMF</v>
      </c>
      <c r="H109" s="102">
        <f t="shared" si="17"/>
        <v>0.06</v>
      </c>
      <c r="I109" s="102">
        <f t="shared" si="18"/>
        <v>4.7400000000000005E-2</v>
      </c>
      <c r="J109" s="528">
        <v>694.73199999999997</v>
      </c>
      <c r="K109" s="529">
        <f t="shared" si="24"/>
        <v>12.08138948</v>
      </c>
      <c r="L109" s="530">
        <f t="shared" si="19"/>
        <v>2.964009026179713E-4</v>
      </c>
      <c r="M109" s="531">
        <f t="shared" si="25"/>
        <v>2.07940828748663E-5</v>
      </c>
      <c r="N109" s="532" t="str">
        <f t="shared" si="26"/>
        <v>--</v>
      </c>
      <c r="O109" s="533" t="str">
        <f t="shared" si="20"/>
        <v>--</v>
      </c>
      <c r="P109" s="533" t="str">
        <f t="shared" si="27"/>
        <v>--</v>
      </c>
      <c r="Q109" s="532">
        <f t="shared" si="28"/>
        <v>12.08138948</v>
      </c>
      <c r="R109" s="534">
        <f t="shared" si="21"/>
        <v>3.6380589615401518E-4</v>
      </c>
      <c r="S109" s="533">
        <f t="shared" si="29"/>
        <v>2.182835376924091E-5</v>
      </c>
      <c r="T109" s="532">
        <f t="shared" si="30"/>
        <v>12.08138948</v>
      </c>
      <c r="U109" s="534">
        <f t="shared" si="22"/>
        <v>3.3697057543109711E-4</v>
      </c>
      <c r="V109" s="533">
        <f t="shared" si="31"/>
        <v>1.5972405275434003E-5</v>
      </c>
      <c r="W109" s="533"/>
      <c r="X109" s="535" t="s">
        <v>36</v>
      </c>
      <c r="Y109" s="535">
        <v>0.06</v>
      </c>
      <c r="Z109" s="535">
        <v>4.7400000000000005E-2</v>
      </c>
    </row>
    <row r="110" spans="1:26" ht="14.5">
      <c r="A110" s="509">
        <v>106</v>
      </c>
      <c r="B110" s="524" t="s">
        <v>707</v>
      </c>
      <c r="C110" s="525" t="s">
        <v>708</v>
      </c>
      <c r="D110" s="526">
        <v>174.68</v>
      </c>
      <c r="E110" s="527">
        <v>2.06</v>
      </c>
      <c r="F110" s="101">
        <f t="shared" si="23"/>
        <v>1.1792992901305244E-2</v>
      </c>
      <c r="G110" s="102">
        <f t="shared" si="16"/>
        <v>0.10730000000000001</v>
      </c>
      <c r="H110" s="102">
        <f t="shared" si="17"/>
        <v>0.05</v>
      </c>
      <c r="I110" s="102">
        <f t="shared" si="18"/>
        <v>0.11119999999999999</v>
      </c>
      <c r="J110" s="528">
        <v>137.10400000000001</v>
      </c>
      <c r="K110" s="529">
        <f t="shared" si="24"/>
        <v>23.949326720000006</v>
      </c>
      <c r="L110" s="530">
        <f t="shared" si="19"/>
        <v>5.8756503700604966E-4</v>
      </c>
      <c r="M110" s="531">
        <f t="shared" si="25"/>
        <v>6.929150310467497E-6</v>
      </c>
      <c r="N110" s="532">
        <f t="shared" si="26"/>
        <v>23.949326720000006</v>
      </c>
      <c r="O110" s="533">
        <f t="shared" si="20"/>
        <v>7.1537417365967579E-4</v>
      </c>
      <c r="P110" s="533">
        <f t="shared" si="27"/>
        <v>7.6759648833683221E-5</v>
      </c>
      <c r="Q110" s="532">
        <f t="shared" si="28"/>
        <v>23.949326720000006</v>
      </c>
      <c r="R110" s="534">
        <f t="shared" si="21"/>
        <v>7.2118412241229247E-4</v>
      </c>
      <c r="S110" s="533">
        <f t="shared" si="29"/>
        <v>3.6059206120614624E-5</v>
      </c>
      <c r="T110" s="532">
        <f t="shared" si="30"/>
        <v>23.949326720000006</v>
      </c>
      <c r="U110" s="534">
        <f t="shared" si="22"/>
        <v>6.6798760352735113E-4</v>
      </c>
      <c r="V110" s="533">
        <f t="shared" si="31"/>
        <v>7.4280221512241438E-5</v>
      </c>
      <c r="W110" s="533"/>
      <c r="X110" s="535">
        <v>0.10730000000000001</v>
      </c>
      <c r="Y110" s="535">
        <v>0.05</v>
      </c>
      <c r="Z110" s="535">
        <v>0.11119999999999999</v>
      </c>
    </row>
    <row r="111" spans="1:26" ht="14.5">
      <c r="A111" s="509">
        <v>107</v>
      </c>
      <c r="B111" s="524" t="s">
        <v>709</v>
      </c>
      <c r="C111" s="525" t="s">
        <v>710</v>
      </c>
      <c r="D111" s="526">
        <v>29.24</v>
      </c>
      <c r="E111" s="527">
        <v>2.85</v>
      </c>
      <c r="F111" s="101">
        <f t="shared" si="23"/>
        <v>9.7469220246238039E-2</v>
      </c>
      <c r="G111" s="102">
        <f t="shared" si="16"/>
        <v>0.17113</v>
      </c>
      <c r="H111" s="102">
        <f t="shared" si="17"/>
        <v>6.5000000000000002E-2</v>
      </c>
      <c r="I111" s="102">
        <f t="shared" si="18"/>
        <v>8.7499999999999994E-2</v>
      </c>
      <c r="J111" s="528">
        <v>706.86199999999997</v>
      </c>
      <c r="K111" s="529">
        <f t="shared" si="24"/>
        <v>20.668644879999995</v>
      </c>
      <c r="L111" s="530">
        <f t="shared" si="19"/>
        <v>5.0707784965163701E-4</v>
      </c>
      <c r="M111" s="531">
        <f t="shared" si="25"/>
        <v>4.9424482609684183E-5</v>
      </c>
      <c r="N111" s="532">
        <f t="shared" si="26"/>
        <v>20.668644879999995</v>
      </c>
      <c r="O111" s="533">
        <f t="shared" si="20"/>
        <v>6.173791407400066E-4</v>
      </c>
      <c r="P111" s="533">
        <f t="shared" si="27"/>
        <v>1.0565209235483733E-4</v>
      </c>
      <c r="Q111" s="532">
        <f t="shared" si="28"/>
        <v>20.668644879999995</v>
      </c>
      <c r="R111" s="534">
        <f t="shared" si="21"/>
        <v>6.2239321770938346E-4</v>
      </c>
      <c r="S111" s="533">
        <f t="shared" si="29"/>
        <v>4.0455559151109926E-5</v>
      </c>
      <c r="T111" s="532">
        <f t="shared" si="30"/>
        <v>20.668644879999995</v>
      </c>
      <c r="U111" s="534">
        <f t="shared" si="22"/>
        <v>5.764837869124468E-4</v>
      </c>
      <c r="V111" s="533">
        <f t="shared" si="31"/>
        <v>5.0442331354839091E-5</v>
      </c>
      <c r="W111" s="533"/>
      <c r="X111" s="535">
        <v>0.17113</v>
      </c>
      <c r="Y111" s="535">
        <v>6.5000000000000002E-2</v>
      </c>
      <c r="Z111" s="535">
        <v>8.7499999999999994E-2</v>
      </c>
    </row>
    <row r="112" spans="1:26" ht="14.5">
      <c r="A112" s="509">
        <v>108</v>
      </c>
      <c r="B112" s="524" t="s">
        <v>711</v>
      </c>
      <c r="C112" s="525" t="s">
        <v>712</v>
      </c>
      <c r="D112" s="526">
        <v>476.82</v>
      </c>
      <c r="E112" s="527">
        <v>6.96</v>
      </c>
      <c r="F112" s="101">
        <f t="shared" si="23"/>
        <v>1.4596703158424562E-2</v>
      </c>
      <c r="G112" s="102">
        <f t="shared" si="16"/>
        <v>9.6780000000000005E-2</v>
      </c>
      <c r="H112" s="102">
        <f t="shared" si="17"/>
        <v>0.125</v>
      </c>
      <c r="I112" s="102">
        <f t="shared" si="18"/>
        <v>9.9000000000000005E-2</v>
      </c>
      <c r="J112" s="528">
        <v>34.241</v>
      </c>
      <c r="K112" s="529">
        <f t="shared" si="24"/>
        <v>16.32679362</v>
      </c>
      <c r="L112" s="530">
        <f t="shared" si="19"/>
        <v>4.0055627490831751E-4</v>
      </c>
      <c r="M112" s="531">
        <f t="shared" si="25"/>
        <v>5.8468010430810155E-6</v>
      </c>
      <c r="N112" s="532">
        <f t="shared" si="26"/>
        <v>16.32679362</v>
      </c>
      <c r="O112" s="533">
        <f t="shared" si="20"/>
        <v>4.8768663232047482E-4</v>
      </c>
      <c r="P112" s="533">
        <f t="shared" si="27"/>
        <v>4.7198312275975556E-5</v>
      </c>
      <c r="Q112" s="532">
        <f t="shared" si="28"/>
        <v>16.32679362</v>
      </c>
      <c r="R112" s="534">
        <f t="shared" si="21"/>
        <v>4.9164740480213019E-4</v>
      </c>
      <c r="S112" s="533">
        <f t="shared" si="29"/>
        <v>6.1455925600266274E-5</v>
      </c>
      <c r="T112" s="532">
        <f t="shared" si="30"/>
        <v>16.32679362</v>
      </c>
      <c r="U112" s="534">
        <f t="shared" si="22"/>
        <v>4.5538214376614607E-4</v>
      </c>
      <c r="V112" s="533">
        <f t="shared" si="31"/>
        <v>4.5082832232848465E-5</v>
      </c>
      <c r="W112" s="533"/>
      <c r="X112" s="535">
        <v>9.6780000000000005E-2</v>
      </c>
      <c r="Y112" s="535">
        <v>0.125</v>
      </c>
      <c r="Z112" s="535">
        <v>9.9000000000000005E-2</v>
      </c>
    </row>
    <row r="113" spans="1:26" ht="14.5">
      <c r="A113" s="509">
        <v>109</v>
      </c>
      <c r="B113" s="524" t="s">
        <v>713</v>
      </c>
      <c r="C113" s="525" t="s">
        <v>714</v>
      </c>
      <c r="D113" s="526">
        <v>199</v>
      </c>
      <c r="E113" s="527">
        <v>5.7</v>
      </c>
      <c r="F113" s="101">
        <f t="shared" si="23"/>
        <v>2.8643216080402011E-2</v>
      </c>
      <c r="G113" s="102">
        <f t="shared" si="16"/>
        <v>9.0120000000000006E-2</v>
      </c>
      <c r="H113" s="102">
        <f t="shared" si="17"/>
        <v>0.105</v>
      </c>
      <c r="I113" s="102">
        <f t="shared" si="18"/>
        <v>9.2799999999999994E-2</v>
      </c>
      <c r="J113" s="528">
        <v>117.026</v>
      </c>
      <c r="K113" s="529">
        <f t="shared" si="24"/>
        <v>23.288173999999998</v>
      </c>
      <c r="L113" s="530">
        <f t="shared" si="19"/>
        <v>5.713445299773889E-4</v>
      </c>
      <c r="M113" s="531">
        <f t="shared" si="25"/>
        <v>1.6365144828498075E-5</v>
      </c>
      <c r="N113" s="532">
        <f t="shared" si="26"/>
        <v>23.288173999999998</v>
      </c>
      <c r="O113" s="533">
        <f t="shared" si="20"/>
        <v>6.956253270109775E-4</v>
      </c>
      <c r="P113" s="533">
        <f t="shared" si="27"/>
        <v>6.2689754470229302E-5</v>
      </c>
      <c r="Q113" s="532">
        <f t="shared" si="28"/>
        <v>23.288173999999998</v>
      </c>
      <c r="R113" s="534">
        <f t="shared" si="21"/>
        <v>7.0127488447302628E-4</v>
      </c>
      <c r="S113" s="533">
        <f t="shared" si="29"/>
        <v>7.3633862869667757E-5</v>
      </c>
      <c r="T113" s="532">
        <f t="shared" si="30"/>
        <v>23.288173999999998</v>
      </c>
      <c r="U113" s="534">
        <f t="shared" si="22"/>
        <v>6.4954692558421786E-4</v>
      </c>
      <c r="V113" s="533">
        <f t="shared" si="31"/>
        <v>6.0277954694215412E-5</v>
      </c>
      <c r="W113" s="533"/>
      <c r="X113" s="535">
        <v>9.0120000000000006E-2</v>
      </c>
      <c r="Y113" s="535">
        <v>0.105</v>
      </c>
      <c r="Z113" s="535">
        <v>9.2799999999999994E-2</v>
      </c>
    </row>
    <row r="114" spans="1:26" ht="14.5">
      <c r="A114" s="509">
        <v>110</v>
      </c>
      <c r="B114" s="524" t="s">
        <v>715</v>
      </c>
      <c r="C114" s="525" t="s">
        <v>716</v>
      </c>
      <c r="D114" s="526">
        <v>135.71</v>
      </c>
      <c r="E114" s="527">
        <v>4.3600000000000003</v>
      </c>
      <c r="F114" s="101">
        <f t="shared" si="23"/>
        <v>3.212733033674748E-2</v>
      </c>
      <c r="G114" s="102">
        <f t="shared" si="16"/>
        <v>7.9329999999999998E-2</v>
      </c>
      <c r="H114" s="102">
        <f t="shared" si="17"/>
        <v>8.5000000000000006E-2</v>
      </c>
      <c r="I114" s="102">
        <f t="shared" si="18"/>
        <v>7.6399999999999996E-2</v>
      </c>
      <c r="J114" s="528">
        <v>207.51599999999999</v>
      </c>
      <c r="K114" s="529">
        <f t="shared" si="24"/>
        <v>28.16199636</v>
      </c>
      <c r="L114" s="530">
        <f t="shared" si="19"/>
        <v>6.9091731165909088E-4</v>
      </c>
      <c r="M114" s="531">
        <f t="shared" si="25"/>
        <v>2.2197328707049123E-5</v>
      </c>
      <c r="N114" s="532">
        <f t="shared" si="26"/>
        <v>28.16199636</v>
      </c>
      <c r="O114" s="533">
        <f t="shared" si="20"/>
        <v>8.412079851003758E-4</v>
      </c>
      <c r="P114" s="533">
        <f t="shared" si="27"/>
        <v>6.6733029458012811E-5</v>
      </c>
      <c r="Q114" s="532">
        <f t="shared" si="28"/>
        <v>28.16199636</v>
      </c>
      <c r="R114" s="534">
        <f t="shared" si="21"/>
        <v>8.4803989973145978E-4</v>
      </c>
      <c r="S114" s="533">
        <f t="shared" si="29"/>
        <v>7.208339147717409E-5</v>
      </c>
      <c r="T114" s="532">
        <f t="shared" si="30"/>
        <v>28.16199636</v>
      </c>
      <c r="U114" s="534">
        <f t="shared" si="22"/>
        <v>7.8548615077987378E-4</v>
      </c>
      <c r="V114" s="533">
        <f t="shared" si="31"/>
        <v>6.0011141919582354E-5</v>
      </c>
      <c r="W114" s="533"/>
      <c r="X114" s="535">
        <v>7.9329999999999998E-2</v>
      </c>
      <c r="Y114" s="535">
        <v>8.5000000000000006E-2</v>
      </c>
      <c r="Z114" s="535">
        <v>7.6399999999999996E-2</v>
      </c>
    </row>
    <row r="115" spans="1:26" ht="14.5">
      <c r="A115" s="509">
        <v>111</v>
      </c>
      <c r="B115" s="524" t="s">
        <v>717</v>
      </c>
      <c r="C115" s="525" t="s">
        <v>718</v>
      </c>
      <c r="D115" s="526">
        <v>120</v>
      </c>
      <c r="E115" s="527">
        <v>4.24</v>
      </c>
      <c r="F115" s="101">
        <f t="shared" si="23"/>
        <v>3.5333333333333335E-2</v>
      </c>
      <c r="G115" s="102">
        <f t="shared" si="16"/>
        <v>6.7000000000000004E-2</v>
      </c>
      <c r="H115" s="102">
        <f t="shared" si="17"/>
        <v>0.06</v>
      </c>
      <c r="I115" s="102">
        <f t="shared" si="18"/>
        <v>6.3299999999999995E-2</v>
      </c>
      <c r="J115" s="528">
        <v>777.25699999999995</v>
      </c>
      <c r="K115" s="529">
        <f t="shared" si="24"/>
        <v>93.270839999999993</v>
      </c>
      <c r="L115" s="530">
        <f t="shared" si="19"/>
        <v>2.2882766266001035E-3</v>
      </c>
      <c r="M115" s="531">
        <f t="shared" si="25"/>
        <v>8.0852440806536988E-5</v>
      </c>
      <c r="N115" s="532">
        <f t="shared" si="26"/>
        <v>93.270839999999993</v>
      </c>
      <c r="O115" s="533">
        <f t="shared" si="20"/>
        <v>2.7860303077256532E-3</v>
      </c>
      <c r="P115" s="533">
        <f t="shared" si="27"/>
        <v>1.8666403061761878E-4</v>
      </c>
      <c r="Q115" s="532">
        <f t="shared" si="28"/>
        <v>93.270839999999993</v>
      </c>
      <c r="R115" s="534">
        <f t="shared" si="21"/>
        <v>2.8086571985292672E-3</v>
      </c>
      <c r="S115" s="533">
        <f t="shared" si="29"/>
        <v>1.6851943191175604E-4</v>
      </c>
      <c r="T115" s="532">
        <f t="shared" si="30"/>
        <v>93.270839999999993</v>
      </c>
      <c r="U115" s="534">
        <f t="shared" si="22"/>
        <v>2.6014829401677219E-3</v>
      </c>
      <c r="V115" s="533">
        <f t="shared" si="31"/>
        <v>1.6467387011261678E-4</v>
      </c>
      <c r="W115" s="533"/>
      <c r="X115" s="535">
        <v>6.7000000000000004E-2</v>
      </c>
      <c r="Y115" s="535">
        <v>0.06</v>
      </c>
      <c r="Z115" s="535">
        <v>6.3299999999999995E-2</v>
      </c>
    </row>
    <row r="116" spans="1:26" ht="14.5">
      <c r="A116" s="509">
        <v>112</v>
      </c>
      <c r="B116" s="524" t="s">
        <v>719</v>
      </c>
      <c r="C116" s="525" t="s">
        <v>720</v>
      </c>
      <c r="D116" s="526">
        <v>31.93</v>
      </c>
      <c r="E116" s="527">
        <v>0.96</v>
      </c>
      <c r="F116" s="101">
        <f t="shared" si="23"/>
        <v>3.0065768869401814E-2</v>
      </c>
      <c r="G116" s="102">
        <f t="shared" si="16"/>
        <v>8.8000000000000009E-2</v>
      </c>
      <c r="H116" s="102">
        <f t="shared" si="17"/>
        <v>1.4999999999999999E-2</v>
      </c>
      <c r="I116" s="102">
        <f t="shared" si="18"/>
        <v>2.5000000000000001E-2</v>
      </c>
      <c r="J116" s="528">
        <v>643.32899999999995</v>
      </c>
      <c r="K116" s="529">
        <f t="shared" si="24"/>
        <v>20.541494969999999</v>
      </c>
      <c r="L116" s="530">
        <f t="shared" si="19"/>
        <v>5.0395839487748367E-4</v>
      </c>
      <c r="M116" s="531">
        <f t="shared" si="25"/>
        <v>1.5151896620181155E-5</v>
      </c>
      <c r="N116" s="532">
        <f t="shared" si="26"/>
        <v>20.541494969999999</v>
      </c>
      <c r="O116" s="533">
        <f t="shared" si="20"/>
        <v>6.1358113159926575E-4</v>
      </c>
      <c r="P116" s="533">
        <f t="shared" si="27"/>
        <v>5.3995139580735391E-5</v>
      </c>
      <c r="Q116" s="532">
        <f t="shared" si="28"/>
        <v>20.541494969999999</v>
      </c>
      <c r="R116" s="534">
        <f t="shared" si="21"/>
        <v>6.1856436283883834E-4</v>
      </c>
      <c r="S116" s="533">
        <f t="shared" si="29"/>
        <v>9.278465442582574E-6</v>
      </c>
      <c r="T116" s="532">
        <f t="shared" si="30"/>
        <v>20.541494969999999</v>
      </c>
      <c r="U116" s="534">
        <f t="shared" si="22"/>
        <v>5.7293735887868136E-4</v>
      </c>
      <c r="V116" s="533">
        <f t="shared" si="31"/>
        <v>1.4323433971967035E-5</v>
      </c>
      <c r="W116" s="533"/>
      <c r="X116" s="535">
        <v>8.8000000000000009E-2</v>
      </c>
      <c r="Y116" s="535">
        <v>1.4999999999999999E-2</v>
      </c>
      <c r="Z116" s="535">
        <v>2.5000000000000001E-2</v>
      </c>
    </row>
    <row r="117" spans="1:26" ht="14.5">
      <c r="A117" s="509">
        <v>113</v>
      </c>
      <c r="B117" s="524" t="s">
        <v>721</v>
      </c>
      <c r="C117" s="525" t="s">
        <v>722</v>
      </c>
      <c r="D117" s="526">
        <v>155.66</v>
      </c>
      <c r="E117" s="527">
        <v>0.76</v>
      </c>
      <c r="F117" s="101">
        <f t="shared" si="23"/>
        <v>4.8824360786329183E-3</v>
      </c>
      <c r="G117" s="102">
        <f t="shared" si="16"/>
        <v>0.10300000000000001</v>
      </c>
      <c r="H117" s="102">
        <f t="shared" si="17"/>
        <v>0.125</v>
      </c>
      <c r="I117" s="102">
        <f t="shared" si="18"/>
        <v>8.5900000000000004E-2</v>
      </c>
      <c r="J117" s="528">
        <v>260.61799999999999</v>
      </c>
      <c r="K117" s="529">
        <f t="shared" si="24"/>
        <v>40.567797880000001</v>
      </c>
      <c r="L117" s="530">
        <f t="shared" si="19"/>
        <v>9.9527723435793272E-4</v>
      </c>
      <c r="M117" s="531">
        <f t="shared" si="25"/>
        <v>4.8593774772711614E-6</v>
      </c>
      <c r="N117" s="532">
        <f t="shared" si="26"/>
        <v>40.567797880000001</v>
      </c>
      <c r="O117" s="533">
        <f t="shared" si="20"/>
        <v>1.2117733089073554E-3</v>
      </c>
      <c r="P117" s="533">
        <f t="shared" si="27"/>
        <v>1.2481265081745762E-4</v>
      </c>
      <c r="Q117" s="532">
        <f t="shared" si="28"/>
        <v>40.567797880000001</v>
      </c>
      <c r="R117" s="534">
        <f t="shared" si="21"/>
        <v>1.2216147891896585E-3</v>
      </c>
      <c r="S117" s="533">
        <f t="shared" si="29"/>
        <v>1.5270184864870731E-4</v>
      </c>
      <c r="T117" s="532">
        <f t="shared" si="30"/>
        <v>40.567797880000001</v>
      </c>
      <c r="U117" s="534">
        <f t="shared" si="22"/>
        <v>1.131505131775293E-3</v>
      </c>
      <c r="V117" s="533">
        <f t="shared" si="31"/>
        <v>9.719629081949767E-5</v>
      </c>
      <c r="W117" s="533"/>
      <c r="X117" s="535">
        <v>0.10300000000000001</v>
      </c>
      <c r="Y117" s="535">
        <v>0.125</v>
      </c>
      <c r="Z117" s="535">
        <v>8.5900000000000004E-2</v>
      </c>
    </row>
    <row r="118" spans="1:26" ht="14.5">
      <c r="A118" s="509">
        <v>114</v>
      </c>
      <c r="B118" s="524" t="s">
        <v>723</v>
      </c>
      <c r="C118" s="525" t="s">
        <v>724</v>
      </c>
      <c r="D118" s="526">
        <v>70.56</v>
      </c>
      <c r="E118" s="527">
        <v>1.1599999999999999</v>
      </c>
      <c r="F118" s="101">
        <f t="shared" si="23"/>
        <v>1.6439909297052153E-2</v>
      </c>
      <c r="G118" s="102">
        <f t="shared" si="16"/>
        <v>7.8670000000000004E-2</v>
      </c>
      <c r="H118" s="102">
        <f t="shared" si="17"/>
        <v>0.12</v>
      </c>
      <c r="I118" s="102">
        <f t="shared" si="18"/>
        <v>8.3000000000000004E-2</v>
      </c>
      <c r="J118" s="528">
        <v>461</v>
      </c>
      <c r="K118" s="529">
        <f t="shared" si="24"/>
        <v>32.52816</v>
      </c>
      <c r="L118" s="530">
        <f t="shared" si="19"/>
        <v>7.9803535847118383E-4</v>
      </c>
      <c r="M118" s="531">
        <f t="shared" si="25"/>
        <v>1.3119628909106763E-5</v>
      </c>
      <c r="N118" s="532">
        <f t="shared" si="26"/>
        <v>32.52816</v>
      </c>
      <c r="O118" s="533">
        <f t="shared" si="20"/>
        <v>9.7162671221304848E-4</v>
      </c>
      <c r="P118" s="533">
        <f t="shared" si="27"/>
        <v>7.6437873449800524E-5</v>
      </c>
      <c r="Q118" s="532">
        <f t="shared" si="28"/>
        <v>32.52816</v>
      </c>
      <c r="R118" s="534">
        <f t="shared" si="21"/>
        <v>9.7951782935493852E-4</v>
      </c>
      <c r="S118" s="533">
        <f t="shared" si="29"/>
        <v>1.1754213952259262E-4</v>
      </c>
      <c r="T118" s="532">
        <f t="shared" si="30"/>
        <v>32.52816</v>
      </c>
      <c r="U118" s="534">
        <f t="shared" si="22"/>
        <v>9.0726590770541027E-4</v>
      </c>
      <c r="V118" s="533">
        <f t="shared" si="31"/>
        <v>7.5303070339549053E-5</v>
      </c>
      <c r="W118" s="533"/>
      <c r="X118" s="535">
        <v>7.8670000000000004E-2</v>
      </c>
      <c r="Y118" s="535">
        <v>0.12</v>
      </c>
      <c r="Z118" s="535">
        <v>8.3000000000000004E-2</v>
      </c>
    </row>
    <row r="119" spans="1:26" ht="14.5">
      <c r="A119" s="509">
        <v>115</v>
      </c>
      <c r="B119" s="524" t="s">
        <v>725</v>
      </c>
      <c r="C119" s="525" t="s">
        <v>726</v>
      </c>
      <c r="D119" s="526">
        <v>253.4</v>
      </c>
      <c r="E119" s="527">
        <v>2.6</v>
      </c>
      <c r="F119" s="101">
        <f t="shared" si="23"/>
        <v>1.0260457774269928E-2</v>
      </c>
      <c r="G119" s="102">
        <f t="shared" si="16"/>
        <v>0.113</v>
      </c>
      <c r="H119" s="102">
        <f t="shared" si="17"/>
        <v>0.105</v>
      </c>
      <c r="I119" s="102">
        <f t="shared" si="18"/>
        <v>0.1363</v>
      </c>
      <c r="J119" s="528">
        <v>283.63299999999998</v>
      </c>
      <c r="K119" s="529">
        <f t="shared" si="24"/>
        <v>71.872602199999989</v>
      </c>
      <c r="L119" s="530">
        <f t="shared" si="19"/>
        <v>1.7632991801852236E-3</v>
      </c>
      <c r="M119" s="531">
        <f t="shared" si="25"/>
        <v>1.8092256781695268E-5</v>
      </c>
      <c r="N119" s="532">
        <f t="shared" si="26"/>
        <v>71.872602199999989</v>
      </c>
      <c r="O119" s="533">
        <f t="shared" si="20"/>
        <v>2.1468579893170196E-3</v>
      </c>
      <c r="P119" s="533">
        <f t="shared" si="27"/>
        <v>2.4259495279282324E-4</v>
      </c>
      <c r="Q119" s="532">
        <f t="shared" si="28"/>
        <v>71.872602199999989</v>
      </c>
      <c r="R119" s="534">
        <f t="shared" si="21"/>
        <v>2.1642938087194285E-3</v>
      </c>
      <c r="S119" s="533">
        <f t="shared" si="29"/>
        <v>2.2725084991553999E-4</v>
      </c>
      <c r="T119" s="532">
        <f t="shared" si="30"/>
        <v>71.872602199999989</v>
      </c>
      <c r="U119" s="534">
        <f t="shared" si="22"/>
        <v>2.0046495613072752E-3</v>
      </c>
      <c r="V119" s="533">
        <f t="shared" si="31"/>
        <v>2.7323373520618164E-4</v>
      </c>
      <c r="W119" s="533"/>
      <c r="X119" s="535">
        <v>0.113</v>
      </c>
      <c r="Y119" s="535">
        <v>0.105</v>
      </c>
      <c r="Z119" s="535">
        <v>0.1363</v>
      </c>
    </row>
    <row r="120" spans="1:26" ht="14.5">
      <c r="A120" s="509">
        <v>116</v>
      </c>
      <c r="B120" s="524" t="s">
        <v>727</v>
      </c>
      <c r="C120" s="525" t="s">
        <v>728</v>
      </c>
      <c r="D120" s="526">
        <v>107.75</v>
      </c>
      <c r="E120" s="527">
        <v>3.45</v>
      </c>
      <c r="F120" s="101">
        <f t="shared" si="23"/>
        <v>3.2018561484918794E-2</v>
      </c>
      <c r="G120" s="102">
        <f t="shared" si="16"/>
        <v>5.2999999999999999E-2</v>
      </c>
      <c r="H120" s="102">
        <f t="shared" si="17"/>
        <v>0.06</v>
      </c>
      <c r="I120" s="102">
        <f t="shared" si="18"/>
        <v>5.57E-2</v>
      </c>
      <c r="J120" s="528">
        <v>360.29599999999999</v>
      </c>
      <c r="K120" s="529">
        <f t="shared" si="24"/>
        <v>38.821894</v>
      </c>
      <c r="L120" s="530">
        <f t="shared" si="19"/>
        <v>9.5244379315707688E-4</v>
      </c>
      <c r="M120" s="531">
        <f t="shared" si="25"/>
        <v>3.0495880152129143E-5</v>
      </c>
      <c r="N120" s="532">
        <f t="shared" si="26"/>
        <v>38.821894</v>
      </c>
      <c r="O120" s="533">
        <f t="shared" si="20"/>
        <v>1.1596225925199419E-3</v>
      </c>
      <c r="P120" s="533">
        <f t="shared" si="27"/>
        <v>6.1459997403556918E-5</v>
      </c>
      <c r="Q120" s="532">
        <f t="shared" si="28"/>
        <v>38.821894</v>
      </c>
      <c r="R120" s="534">
        <f t="shared" si="21"/>
        <v>1.1690405280325574E-3</v>
      </c>
      <c r="S120" s="533">
        <f t="shared" si="29"/>
        <v>7.0142431681953442E-5</v>
      </c>
      <c r="T120" s="532">
        <f t="shared" si="30"/>
        <v>38.821894</v>
      </c>
      <c r="U120" s="534">
        <f t="shared" si="22"/>
        <v>1.0828088923183243E-3</v>
      </c>
      <c r="V120" s="533">
        <f t="shared" si="31"/>
        <v>6.0312455302130661E-5</v>
      </c>
      <c r="W120" s="533"/>
      <c r="X120" s="535">
        <v>5.2999999999999999E-2</v>
      </c>
      <c r="Y120" s="535">
        <v>0.06</v>
      </c>
      <c r="Z120" s="535">
        <v>5.57E-2</v>
      </c>
    </row>
    <row r="121" spans="1:26" ht="14.5">
      <c r="A121" s="509">
        <v>117</v>
      </c>
      <c r="B121" s="524" t="s">
        <v>729</v>
      </c>
      <c r="C121" s="525" t="s">
        <v>730</v>
      </c>
      <c r="D121" s="526">
        <v>271.16000000000003</v>
      </c>
      <c r="E121" s="527">
        <v>1.56</v>
      </c>
      <c r="F121" s="101">
        <f t="shared" si="23"/>
        <v>5.7530609234400353E-3</v>
      </c>
      <c r="G121" s="102">
        <f t="shared" si="16"/>
        <v>0.15627000000000002</v>
      </c>
      <c r="H121" s="102">
        <f t="shared" si="17"/>
        <v>7.0000000000000007E-2</v>
      </c>
      <c r="I121" s="102">
        <f t="shared" si="18"/>
        <v>0.13250000000000001</v>
      </c>
      <c r="J121" s="528">
        <v>124.199</v>
      </c>
      <c r="K121" s="529">
        <f t="shared" si="24"/>
        <v>33.677800840000003</v>
      </c>
      <c r="L121" s="530">
        <f t="shared" si="19"/>
        <v>8.2624027506844958E-4</v>
      </c>
      <c r="M121" s="531">
        <f t="shared" si="25"/>
        <v>4.7534106398686436E-6</v>
      </c>
      <c r="N121" s="532">
        <f t="shared" si="26"/>
        <v>33.677800840000003</v>
      </c>
      <c r="O121" s="533">
        <f t="shared" si="20"/>
        <v>1.0059668577852251E-3</v>
      </c>
      <c r="P121" s="533">
        <f t="shared" si="27"/>
        <v>1.5720244086609713E-4</v>
      </c>
      <c r="Q121" s="532">
        <f t="shared" si="28"/>
        <v>33.677800840000003</v>
      </c>
      <c r="R121" s="534">
        <f t="shared" si="21"/>
        <v>1.0141368702147532E-3</v>
      </c>
      <c r="S121" s="533">
        <f t="shared" si="29"/>
        <v>7.0989580915032733E-5</v>
      </c>
      <c r="T121" s="532">
        <f t="shared" si="30"/>
        <v>33.677800840000003</v>
      </c>
      <c r="U121" s="534">
        <f t="shared" si="22"/>
        <v>9.3933135316060401E-4</v>
      </c>
      <c r="V121" s="533">
        <f t="shared" si="31"/>
        <v>1.2446140429378004E-4</v>
      </c>
      <c r="W121" s="533"/>
      <c r="X121" s="535">
        <v>0.15627000000000002</v>
      </c>
      <c r="Y121" s="535">
        <v>7.0000000000000007E-2</v>
      </c>
      <c r="Z121" s="535">
        <v>0.13250000000000001</v>
      </c>
    </row>
    <row r="122" spans="1:26" ht="14.5">
      <c r="A122" s="509">
        <v>118</v>
      </c>
      <c r="B122" s="524" t="s">
        <v>731</v>
      </c>
      <c r="C122" s="525" t="s">
        <v>732</v>
      </c>
      <c r="D122" s="526">
        <v>347.21</v>
      </c>
      <c r="E122" s="527">
        <v>8.4</v>
      </c>
      <c r="F122" s="101">
        <f t="shared" si="23"/>
        <v>2.4192851588375912E-2</v>
      </c>
      <c r="G122" s="102" t="str">
        <f t="shared" si="16"/>
        <v>NMF</v>
      </c>
      <c r="H122" s="102">
        <f t="shared" si="17"/>
        <v>0.13</v>
      </c>
      <c r="I122" s="102" t="str">
        <f t="shared" si="18"/>
        <v>NMF</v>
      </c>
      <c r="J122" s="528">
        <v>42.534999999999997</v>
      </c>
      <c r="K122" s="529">
        <f t="shared" si="24"/>
        <v>14.768577349999997</v>
      </c>
      <c r="L122" s="530">
        <f t="shared" si="19"/>
        <v>3.6232750083671055E-4</v>
      </c>
      <c r="M122" s="531">
        <f t="shared" si="25"/>
        <v>8.7657354541296882E-6</v>
      </c>
      <c r="N122" s="532" t="str">
        <f t="shared" si="26"/>
        <v>--</v>
      </c>
      <c r="O122" s="533" t="str">
        <f t="shared" si="20"/>
        <v>--</v>
      </c>
      <c r="P122" s="533" t="str">
        <f t="shared" si="27"/>
        <v>--</v>
      </c>
      <c r="Q122" s="532">
        <f t="shared" si="28"/>
        <v>14.768577349999997</v>
      </c>
      <c r="R122" s="534">
        <f t="shared" si="21"/>
        <v>4.4472496533872521E-4</v>
      </c>
      <c r="S122" s="533">
        <f t="shared" si="29"/>
        <v>5.781424549403428E-5</v>
      </c>
      <c r="T122" s="532" t="str">
        <f t="shared" si="30"/>
        <v>--</v>
      </c>
      <c r="U122" s="534" t="str">
        <f t="shared" si="22"/>
        <v>--</v>
      </c>
      <c r="V122" s="533" t="str">
        <f t="shared" si="31"/>
        <v>--</v>
      </c>
      <c r="W122" s="533"/>
      <c r="X122" s="535">
        <v>0.31</v>
      </c>
      <c r="Y122" s="535">
        <v>0.13</v>
      </c>
      <c r="Z122" s="535">
        <v>0.28160000000000002</v>
      </c>
    </row>
    <row r="123" spans="1:26" ht="14.5">
      <c r="A123" s="509">
        <v>119</v>
      </c>
      <c r="B123" s="524" t="s">
        <v>35</v>
      </c>
      <c r="C123" s="525" t="s">
        <v>733</v>
      </c>
      <c r="D123" s="526">
        <v>56.13</v>
      </c>
      <c r="E123" s="527">
        <v>3.41</v>
      </c>
      <c r="F123" s="101">
        <f t="shared" si="23"/>
        <v>6.0751826117940493E-2</v>
      </c>
      <c r="G123" s="102">
        <f t="shared" si="16"/>
        <v>9.9670000000000009E-2</v>
      </c>
      <c r="H123" s="102">
        <f t="shared" si="17"/>
        <v>6.5000000000000002E-2</v>
      </c>
      <c r="I123" s="102">
        <f t="shared" si="18"/>
        <v>7.0099999999999996E-2</v>
      </c>
      <c r="J123" s="528">
        <v>384.76400000000001</v>
      </c>
      <c r="K123" s="529">
        <f t="shared" si="24"/>
        <v>21.596803320000003</v>
      </c>
      <c r="L123" s="530">
        <f t="shared" si="19"/>
        <v>5.2984898867036603E-4</v>
      </c>
      <c r="M123" s="531">
        <f t="shared" si="25"/>
        <v>3.21892936284687E-5</v>
      </c>
      <c r="N123" s="532">
        <f t="shared" si="26"/>
        <v>21.596803320000003</v>
      </c>
      <c r="O123" s="533">
        <f t="shared" si="20"/>
        <v>6.4510353503313602E-4</v>
      </c>
      <c r="P123" s="533">
        <f t="shared" si="27"/>
        <v>6.4297469336752674E-5</v>
      </c>
      <c r="Q123" s="532">
        <f t="shared" si="28"/>
        <v>21.596803320000003</v>
      </c>
      <c r="R123" s="534">
        <f t="shared" si="21"/>
        <v>6.5034277712025317E-4</v>
      </c>
      <c r="S123" s="533">
        <f t="shared" si="29"/>
        <v>4.2272280512816457E-5</v>
      </c>
      <c r="T123" s="532">
        <f t="shared" si="30"/>
        <v>21.596803320000003</v>
      </c>
      <c r="U123" s="534">
        <f t="shared" si="22"/>
        <v>6.023717101629794E-4</v>
      </c>
      <c r="V123" s="533">
        <f t="shared" si="31"/>
        <v>4.2226256882424856E-5</v>
      </c>
      <c r="W123" s="533"/>
      <c r="X123" s="535">
        <v>9.9670000000000009E-2</v>
      </c>
      <c r="Y123" s="535">
        <v>6.5000000000000002E-2</v>
      </c>
      <c r="Z123" s="535">
        <v>7.0099999999999996E-2</v>
      </c>
    </row>
    <row r="124" spans="1:26" ht="14.5">
      <c r="A124" s="509">
        <v>120</v>
      </c>
      <c r="B124" s="524" t="s">
        <v>734</v>
      </c>
      <c r="C124" s="525" t="s">
        <v>735</v>
      </c>
      <c r="D124" s="526">
        <v>61.24</v>
      </c>
      <c r="E124" s="527">
        <v>1.4</v>
      </c>
      <c r="F124" s="101">
        <f t="shared" si="23"/>
        <v>2.2860875244937948E-2</v>
      </c>
      <c r="G124" s="102">
        <f t="shared" si="16"/>
        <v>6.2E-2</v>
      </c>
      <c r="H124" s="102" t="str">
        <f t="shared" si="17"/>
        <v>NMF</v>
      </c>
      <c r="I124" s="102">
        <f t="shared" si="18"/>
        <v>6.0700000000000004E-2</v>
      </c>
      <c r="J124" s="528">
        <v>359.75200000000001</v>
      </c>
      <c r="K124" s="529">
        <f t="shared" si="24"/>
        <v>22.031212480000001</v>
      </c>
      <c r="L124" s="530">
        <f t="shared" si="19"/>
        <v>5.4050664252240578E-4</v>
      </c>
      <c r="M124" s="531">
        <f t="shared" si="25"/>
        <v>1.2356454923764991E-5</v>
      </c>
      <c r="N124" s="532">
        <f t="shared" si="26"/>
        <v>22.031212480000001</v>
      </c>
      <c r="O124" s="533">
        <f t="shared" si="20"/>
        <v>6.580794778434896E-4</v>
      </c>
      <c r="P124" s="533">
        <f t="shared" si="27"/>
        <v>4.0800927626296356E-5</v>
      </c>
      <c r="Q124" s="532" t="str">
        <f t="shared" si="28"/>
        <v>--</v>
      </c>
      <c r="R124" s="534" t="str">
        <f t="shared" si="21"/>
        <v>--</v>
      </c>
      <c r="S124" s="533" t="str">
        <f t="shared" si="29"/>
        <v>--</v>
      </c>
      <c r="T124" s="532">
        <f t="shared" si="30"/>
        <v>22.031212480000001</v>
      </c>
      <c r="U124" s="534">
        <f t="shared" si="22"/>
        <v>6.1448812316829365E-4</v>
      </c>
      <c r="V124" s="533">
        <f t="shared" si="31"/>
        <v>3.7299429076315429E-5</v>
      </c>
      <c r="W124" s="533"/>
      <c r="X124" s="535">
        <v>6.2E-2</v>
      </c>
      <c r="Y124" s="535">
        <v>-1.4999999999999999E-2</v>
      </c>
      <c r="Z124" s="535">
        <v>6.0700000000000004E-2</v>
      </c>
    </row>
    <row r="125" spans="1:26" ht="14.5">
      <c r="A125" s="509">
        <v>121</v>
      </c>
      <c r="B125" s="524" t="s">
        <v>736</v>
      </c>
      <c r="C125" s="525" t="s">
        <v>737</v>
      </c>
      <c r="D125" s="526">
        <v>412.38</v>
      </c>
      <c r="E125" s="527">
        <v>6.84</v>
      </c>
      <c r="F125" s="101">
        <f t="shared" si="23"/>
        <v>1.6586643387167175E-2</v>
      </c>
      <c r="G125" s="102">
        <f t="shared" si="16"/>
        <v>0.1275</v>
      </c>
      <c r="H125" s="102">
        <f t="shared" si="17"/>
        <v>9.5000000000000001E-2</v>
      </c>
      <c r="I125" s="102">
        <f t="shared" si="18"/>
        <v>0.1143</v>
      </c>
      <c r="J125" s="528">
        <v>225.935</v>
      </c>
      <c r="K125" s="529">
        <f t="shared" si="24"/>
        <v>93.171075299999998</v>
      </c>
      <c r="L125" s="530">
        <f t="shared" si="19"/>
        <v>2.2858290317122505E-3</v>
      </c>
      <c r="M125" s="531">
        <f t="shared" si="25"/>
        <v>3.791423099304475E-5</v>
      </c>
      <c r="N125" s="532">
        <f t="shared" si="26"/>
        <v>93.171075299999998</v>
      </c>
      <c r="O125" s="533">
        <f t="shared" si="20"/>
        <v>2.7830503037089517E-3</v>
      </c>
      <c r="P125" s="533">
        <f t="shared" si="27"/>
        <v>3.5483891372289136E-4</v>
      </c>
      <c r="Q125" s="532">
        <f t="shared" si="28"/>
        <v>93.171075299999998</v>
      </c>
      <c r="R125" s="534">
        <f t="shared" si="21"/>
        <v>2.8056529922541431E-3</v>
      </c>
      <c r="S125" s="533">
        <f t="shared" si="29"/>
        <v>2.6653703426414362E-4</v>
      </c>
      <c r="T125" s="532">
        <f t="shared" si="30"/>
        <v>93.171075299999998</v>
      </c>
      <c r="U125" s="534">
        <f t="shared" si="22"/>
        <v>2.5987003323871879E-3</v>
      </c>
      <c r="V125" s="533">
        <f t="shared" si="31"/>
        <v>2.9703144799185559E-4</v>
      </c>
      <c r="W125" s="533"/>
      <c r="X125" s="535">
        <v>0.1275</v>
      </c>
      <c r="Y125" s="535">
        <v>9.5000000000000001E-2</v>
      </c>
      <c r="Z125" s="535">
        <v>0.1143</v>
      </c>
    </row>
    <row r="126" spans="1:26" ht="14.5">
      <c r="A126" s="509">
        <v>122</v>
      </c>
      <c r="B126" s="524" t="s">
        <v>738</v>
      </c>
      <c r="C126" s="525" t="s">
        <v>739</v>
      </c>
      <c r="D126" s="526">
        <v>77.45</v>
      </c>
      <c r="E126" s="527">
        <v>3.32</v>
      </c>
      <c r="F126" s="101">
        <f t="shared" si="23"/>
        <v>4.2866365397030336E-2</v>
      </c>
      <c r="G126" s="102">
        <f t="shared" si="16"/>
        <v>6.4269999999999994E-2</v>
      </c>
      <c r="H126" s="102">
        <f t="shared" si="17"/>
        <v>5.5E-2</v>
      </c>
      <c r="I126" s="102">
        <f t="shared" si="18"/>
        <v>5.9000000000000004E-2</v>
      </c>
      <c r="J126" s="528">
        <v>115.46</v>
      </c>
      <c r="K126" s="529">
        <f t="shared" si="24"/>
        <v>8.9423770000000005</v>
      </c>
      <c r="L126" s="530">
        <f t="shared" si="19"/>
        <v>2.1938938552870711E-4</v>
      </c>
      <c r="M126" s="531">
        <f t="shared" si="25"/>
        <v>9.4044255643035183E-6</v>
      </c>
      <c r="N126" s="532">
        <f t="shared" si="26"/>
        <v>8.9423770000000005</v>
      </c>
      <c r="O126" s="533">
        <f t="shared" si="20"/>
        <v>2.6711170763669338E-4</v>
      </c>
      <c r="P126" s="533">
        <f t="shared" si="27"/>
        <v>1.7167269449810283E-5</v>
      </c>
      <c r="Q126" s="532">
        <f t="shared" si="28"/>
        <v>8.9423770000000005</v>
      </c>
      <c r="R126" s="534">
        <f t="shared" si="21"/>
        <v>2.6928106933541671E-4</v>
      </c>
      <c r="S126" s="533">
        <f t="shared" si="29"/>
        <v>1.4810458813447918E-5</v>
      </c>
      <c r="T126" s="532">
        <f t="shared" si="30"/>
        <v>8.9423770000000005</v>
      </c>
      <c r="U126" s="534">
        <f t="shared" si="22"/>
        <v>2.494181590950421E-4</v>
      </c>
      <c r="V126" s="533">
        <f t="shared" si="31"/>
        <v>1.4715671386607485E-5</v>
      </c>
      <c r="W126" s="533"/>
      <c r="X126" s="535">
        <v>6.4269999999999994E-2</v>
      </c>
      <c r="Y126" s="535">
        <v>5.5E-2</v>
      </c>
      <c r="Z126" s="535">
        <v>5.9000000000000004E-2</v>
      </c>
    </row>
    <row r="127" spans="1:26" ht="14.5">
      <c r="A127" s="509">
        <v>123</v>
      </c>
      <c r="B127" s="524" t="s">
        <v>740</v>
      </c>
      <c r="C127" s="525" t="s">
        <v>741</v>
      </c>
      <c r="D127" s="526">
        <v>112.38</v>
      </c>
      <c r="E127" s="527">
        <v>2.12</v>
      </c>
      <c r="F127" s="101">
        <f t="shared" si="23"/>
        <v>1.8864566648869908E-2</v>
      </c>
      <c r="G127" s="102">
        <f t="shared" si="16"/>
        <v>8.5570000000000007E-2</v>
      </c>
      <c r="H127" s="102">
        <f t="shared" si="17"/>
        <v>0.11</v>
      </c>
      <c r="I127" s="102">
        <f t="shared" si="18"/>
        <v>8.4900000000000003E-2</v>
      </c>
      <c r="J127" s="528">
        <v>563.9</v>
      </c>
      <c r="K127" s="529">
        <f t="shared" si="24"/>
        <v>63.371081999999994</v>
      </c>
      <c r="L127" s="530">
        <f t="shared" si="19"/>
        <v>1.5547256328232763E-3</v>
      </c>
      <c r="M127" s="531">
        <f t="shared" si="25"/>
        <v>2.9329225321101139E-5</v>
      </c>
      <c r="N127" s="532">
        <f t="shared" si="26"/>
        <v>63.371081999999994</v>
      </c>
      <c r="O127" s="533">
        <f t="shared" si="20"/>
        <v>1.8929148175932328E-3</v>
      </c>
      <c r="P127" s="533">
        <f t="shared" si="27"/>
        <v>1.6197672094145295E-4</v>
      </c>
      <c r="Q127" s="532">
        <f t="shared" si="28"/>
        <v>63.371081999999994</v>
      </c>
      <c r="R127" s="534">
        <f t="shared" si="21"/>
        <v>1.9082882242498136E-3</v>
      </c>
      <c r="S127" s="533">
        <f t="shared" si="29"/>
        <v>2.099117046674795E-4</v>
      </c>
      <c r="T127" s="532">
        <f t="shared" si="30"/>
        <v>63.371081999999994</v>
      </c>
      <c r="U127" s="534">
        <f t="shared" si="22"/>
        <v>1.7675276509032168E-3</v>
      </c>
      <c r="V127" s="533">
        <f t="shared" si="31"/>
        <v>1.500630975616831E-4</v>
      </c>
      <c r="W127" s="533"/>
      <c r="X127" s="535">
        <v>8.5570000000000007E-2</v>
      </c>
      <c r="Y127" s="535">
        <v>0.11</v>
      </c>
      <c r="Z127" s="535">
        <v>8.4900000000000003E-2</v>
      </c>
    </row>
    <row r="128" spans="1:26" ht="14.5">
      <c r="A128" s="509">
        <v>124</v>
      </c>
      <c r="B128" s="524" t="s">
        <v>742</v>
      </c>
      <c r="C128" s="525" t="s">
        <v>743</v>
      </c>
      <c r="D128" s="526">
        <v>109.71</v>
      </c>
      <c r="E128" s="527">
        <v>3.98</v>
      </c>
      <c r="F128" s="101">
        <f t="shared" si="23"/>
        <v>3.6277458754899281E-2</v>
      </c>
      <c r="G128" s="102">
        <f t="shared" si="16"/>
        <v>4.4000000000000004E-2</v>
      </c>
      <c r="H128" s="102">
        <f t="shared" si="17"/>
        <v>7.0000000000000007E-2</v>
      </c>
      <c r="I128" s="102">
        <f t="shared" si="18"/>
        <v>1.3000000000000001E-2</v>
      </c>
      <c r="J128" s="528">
        <v>545.78700000000003</v>
      </c>
      <c r="K128" s="529">
        <f t="shared" si="24"/>
        <v>59.878291770000004</v>
      </c>
      <c r="L128" s="530">
        <f t="shared" si="19"/>
        <v>1.4690346468202962E-3</v>
      </c>
      <c r="M128" s="531">
        <f t="shared" si="25"/>
        <v>5.3292843809541328E-5</v>
      </c>
      <c r="N128" s="532">
        <f t="shared" si="26"/>
        <v>59.878291770000004</v>
      </c>
      <c r="O128" s="533">
        <f t="shared" si="20"/>
        <v>1.7885840381201626E-3</v>
      </c>
      <c r="P128" s="533">
        <f t="shared" si="27"/>
        <v>7.8697697677287167E-5</v>
      </c>
      <c r="Q128" s="532">
        <f t="shared" si="28"/>
        <v>59.878291770000004</v>
      </c>
      <c r="R128" s="534">
        <f t="shared" si="21"/>
        <v>1.803110116896624E-3</v>
      </c>
      <c r="S128" s="533">
        <f t="shared" si="29"/>
        <v>1.2621770818276368E-4</v>
      </c>
      <c r="T128" s="532">
        <f t="shared" si="30"/>
        <v>59.878291770000004</v>
      </c>
      <c r="U128" s="534">
        <f t="shared" si="22"/>
        <v>1.670107769223911E-3</v>
      </c>
      <c r="V128" s="533">
        <f t="shared" si="31"/>
        <v>2.1711400999910844E-5</v>
      </c>
      <c r="W128" s="533"/>
      <c r="X128" s="535">
        <v>4.4000000000000004E-2</v>
      </c>
      <c r="Y128" s="535">
        <v>7.0000000000000007E-2</v>
      </c>
      <c r="Z128" s="535">
        <v>1.3000000000000001E-2</v>
      </c>
    </row>
    <row r="129" spans="1:26" ht="14.5">
      <c r="A129" s="509">
        <v>125</v>
      </c>
      <c r="B129" s="524" t="s">
        <v>744</v>
      </c>
      <c r="C129" s="525" t="s">
        <v>745</v>
      </c>
      <c r="D129" s="526">
        <v>860.99</v>
      </c>
      <c r="E129" s="527">
        <v>18.760000000000002</v>
      </c>
      <c r="F129" s="101">
        <f t="shared" si="23"/>
        <v>2.1788870950882125E-2</v>
      </c>
      <c r="G129" s="102">
        <f t="shared" si="16"/>
        <v>0.09</v>
      </c>
      <c r="H129" s="102">
        <f t="shared" si="17"/>
        <v>0.11</v>
      </c>
      <c r="I129" s="102">
        <f t="shared" si="18"/>
        <v>0.19339999999999999</v>
      </c>
      <c r="J129" s="528">
        <v>97.819000000000003</v>
      </c>
      <c r="K129" s="529">
        <f t="shared" si="24"/>
        <v>84.221180810000007</v>
      </c>
      <c r="L129" s="530">
        <f t="shared" si="19"/>
        <v>2.0662552145148923E-3</v>
      </c>
      <c r="M129" s="531">
        <f t="shared" si="25"/>
        <v>4.5021368220652254E-5</v>
      </c>
      <c r="N129" s="532">
        <f t="shared" si="26"/>
        <v>84.221180810000007</v>
      </c>
      <c r="O129" s="533">
        <f t="shared" si="20"/>
        <v>2.5157140462024599E-3</v>
      </c>
      <c r="P129" s="533">
        <f t="shared" si="27"/>
        <v>2.2641426415822137E-4</v>
      </c>
      <c r="Q129" s="532">
        <f t="shared" si="28"/>
        <v>84.221180810000007</v>
      </c>
      <c r="R129" s="534">
        <f t="shared" si="21"/>
        <v>2.5361455493554206E-3</v>
      </c>
      <c r="S129" s="533">
        <f t="shared" si="29"/>
        <v>2.7897601042909629E-4</v>
      </c>
      <c r="T129" s="532">
        <f t="shared" si="30"/>
        <v>84.221180810000007</v>
      </c>
      <c r="U129" s="534">
        <f t="shared" si="22"/>
        <v>2.3490724976637516E-3</v>
      </c>
      <c r="V129" s="533">
        <f t="shared" si="31"/>
        <v>4.5431062104816952E-4</v>
      </c>
      <c r="W129" s="533"/>
      <c r="X129" s="535">
        <v>0.09</v>
      </c>
      <c r="Y129" s="535">
        <v>0.11</v>
      </c>
      <c r="Z129" s="535">
        <v>0.19339999999999999</v>
      </c>
    </row>
    <row r="130" spans="1:26" ht="14.5">
      <c r="A130" s="509">
        <v>126</v>
      </c>
      <c r="B130" s="524" t="s">
        <v>746</v>
      </c>
      <c r="C130" s="525" t="s">
        <v>747</v>
      </c>
      <c r="D130" s="526">
        <v>69.680000000000007</v>
      </c>
      <c r="E130" s="527">
        <v>2.77</v>
      </c>
      <c r="F130" s="101">
        <f t="shared" si="23"/>
        <v>3.9753157290470721E-2</v>
      </c>
      <c r="G130" s="102" t="str">
        <f t="shared" si="16"/>
        <v>NMF</v>
      </c>
      <c r="H130" s="102" t="str">
        <f t="shared" si="17"/>
        <v>NMF</v>
      </c>
      <c r="I130" s="102">
        <f t="shared" si="18"/>
        <v>4.3200000000000002E-2</v>
      </c>
      <c r="J130" s="528">
        <v>379.94400000000002</v>
      </c>
      <c r="K130" s="529">
        <f t="shared" si="24"/>
        <v>26.474497920000005</v>
      </c>
      <c r="L130" s="530">
        <f t="shared" si="19"/>
        <v>6.4951677063602162E-4</v>
      </c>
      <c r="M130" s="531">
        <f t="shared" si="25"/>
        <v>2.5820342345892361E-5</v>
      </c>
      <c r="N130" s="532" t="str">
        <f t="shared" si="26"/>
        <v>--</v>
      </c>
      <c r="O130" s="533" t="str">
        <f t="shared" si="20"/>
        <v>--</v>
      </c>
      <c r="P130" s="533" t="str">
        <f t="shared" si="27"/>
        <v>--</v>
      </c>
      <c r="Q130" s="532" t="str">
        <f t="shared" si="28"/>
        <v>--</v>
      </c>
      <c r="R130" s="534" t="str">
        <f t="shared" si="21"/>
        <v>--</v>
      </c>
      <c r="S130" s="533" t="str">
        <f t="shared" si="29"/>
        <v>--</v>
      </c>
      <c r="T130" s="532">
        <f t="shared" si="30"/>
        <v>26.474497920000005</v>
      </c>
      <c r="U130" s="534">
        <f t="shared" si="22"/>
        <v>7.3841893874211759E-4</v>
      </c>
      <c r="V130" s="533">
        <f t="shared" si="31"/>
        <v>3.1899698153659485E-5</v>
      </c>
      <c r="W130" s="533"/>
      <c r="X130" s="535" t="s">
        <v>36</v>
      </c>
      <c r="Y130" s="535">
        <v>-3.5000000000000003E-2</v>
      </c>
      <c r="Z130" s="535">
        <v>4.3200000000000002E-2</v>
      </c>
    </row>
    <row r="131" spans="1:26" ht="14.5">
      <c r="A131" s="509">
        <v>127</v>
      </c>
      <c r="B131" s="524" t="s">
        <v>748</v>
      </c>
      <c r="C131" s="525" t="s">
        <v>749</v>
      </c>
      <c r="D131" s="526">
        <v>53.4</v>
      </c>
      <c r="E131" s="527">
        <v>0.63</v>
      </c>
      <c r="F131" s="101">
        <f t="shared" si="23"/>
        <v>1.1797752808988765E-2</v>
      </c>
      <c r="G131" s="102" t="str">
        <f t="shared" si="16"/>
        <v>NMF</v>
      </c>
      <c r="H131" s="102" t="str">
        <f t="shared" si="17"/>
        <v>NMF</v>
      </c>
      <c r="I131" s="102" t="str">
        <f t="shared" si="18"/>
        <v>NMF</v>
      </c>
      <c r="J131" s="528">
        <v>598.62599999999998</v>
      </c>
      <c r="K131" s="529">
        <f t="shared" si="24"/>
        <v>31.966628399999998</v>
      </c>
      <c r="L131" s="530">
        <f t="shared" si="19"/>
        <v>7.8425892378508719E-4</v>
      </c>
      <c r="M131" s="531">
        <f t="shared" si="25"/>
        <v>9.2524929210600182E-6</v>
      </c>
      <c r="N131" s="532" t="str">
        <f t="shared" si="26"/>
        <v>--</v>
      </c>
      <c r="O131" s="533" t="str">
        <f t="shared" si="20"/>
        <v>--</v>
      </c>
      <c r="P131" s="533" t="str">
        <f t="shared" si="27"/>
        <v>--</v>
      </c>
      <c r="Q131" s="532" t="str">
        <f t="shared" si="28"/>
        <v>--</v>
      </c>
      <c r="R131" s="534" t="str">
        <f t="shared" si="21"/>
        <v>--</v>
      </c>
      <c r="S131" s="533" t="str">
        <f t="shared" si="29"/>
        <v>--</v>
      </c>
      <c r="T131" s="532" t="str">
        <f t="shared" si="30"/>
        <v>--</v>
      </c>
      <c r="U131" s="534" t="str">
        <f t="shared" si="22"/>
        <v>--</v>
      </c>
      <c r="V131" s="533" t="str">
        <f t="shared" si="31"/>
        <v>--</v>
      </c>
      <c r="W131" s="533"/>
      <c r="X131" s="535">
        <v>0.33850000000000002</v>
      </c>
      <c r="Y131" s="535">
        <v>0.47499999999999998</v>
      </c>
      <c r="Z131" s="535">
        <v>0.51239999999999997</v>
      </c>
    </row>
    <row r="132" spans="1:26" ht="14.5">
      <c r="A132" s="509">
        <v>128</v>
      </c>
      <c r="B132" s="524" t="s">
        <v>1319</v>
      </c>
      <c r="C132" s="525" t="s">
        <v>1320</v>
      </c>
      <c r="D132" s="526">
        <v>358.89</v>
      </c>
      <c r="E132" s="527">
        <v>5.48</v>
      </c>
      <c r="F132" s="101">
        <f t="shared" si="23"/>
        <v>1.5269302571818666E-2</v>
      </c>
      <c r="G132" s="102" t="str">
        <f t="shared" si="16"/>
        <v>NMF</v>
      </c>
      <c r="H132" s="102">
        <f t="shared" si="17"/>
        <v>0.18</v>
      </c>
      <c r="I132" s="102" t="str">
        <f t="shared" si="18"/>
        <v>NMF</v>
      </c>
      <c r="J132" s="528">
        <v>52.29</v>
      </c>
      <c r="K132" s="529">
        <f t="shared" si="24"/>
        <v>18.766358099999998</v>
      </c>
      <c r="L132" s="530">
        <f t="shared" si="19"/>
        <v>4.6040776095334328E-4</v>
      </c>
      <c r="M132" s="531">
        <f t="shared" si="25"/>
        <v>7.0301054084101579E-6</v>
      </c>
      <c r="N132" s="532" t="str">
        <f t="shared" si="26"/>
        <v>--</v>
      </c>
      <c r="O132" s="533" t="str">
        <f t="shared" si="20"/>
        <v>--</v>
      </c>
      <c r="P132" s="533" t="str">
        <f t="shared" si="27"/>
        <v>--</v>
      </c>
      <c r="Q132" s="532">
        <f t="shared" si="28"/>
        <v>18.766358099999998</v>
      </c>
      <c r="R132" s="534">
        <f t="shared" si="21"/>
        <v>5.6510981103786583E-4</v>
      </c>
      <c r="S132" s="533">
        <f t="shared" si="29"/>
        <v>1.0171976598681584E-4</v>
      </c>
      <c r="T132" s="532" t="str">
        <f t="shared" si="30"/>
        <v>--</v>
      </c>
      <c r="U132" s="534" t="str">
        <f t="shared" si="22"/>
        <v>--</v>
      </c>
      <c r="V132" s="533" t="str">
        <f t="shared" si="31"/>
        <v>--</v>
      </c>
      <c r="W132" s="533"/>
      <c r="X132" s="535" t="s">
        <v>36</v>
      </c>
      <c r="Y132" s="535">
        <v>0.18</v>
      </c>
      <c r="Z132" s="535" t="s">
        <v>36</v>
      </c>
    </row>
    <row r="133" spans="1:26" ht="14.5">
      <c r="A133" s="509">
        <v>129</v>
      </c>
      <c r="B133" s="524" t="s">
        <v>12</v>
      </c>
      <c r="C133" s="525" t="s">
        <v>750</v>
      </c>
      <c r="D133" s="526">
        <v>62.71</v>
      </c>
      <c r="E133" s="527">
        <v>3.05</v>
      </c>
      <c r="F133" s="101">
        <f t="shared" ref="F133:F193" si="32">E133/D133</f>
        <v>4.8636581087545844E-2</v>
      </c>
      <c r="G133" s="102">
        <f t="shared" ref="G133:G196" si="33">IF(AND(X133&gt;=$F$423,X133&lt;=$F$424),X133,"NMF")</f>
        <v>5.2999999999999999E-2</v>
      </c>
      <c r="H133" s="102">
        <f t="shared" ref="H133:H196" si="34">IF(AND(Y133&gt;=$F$423,Y133&lt;=$F$424),Y133,"NMF")</f>
        <v>5.5E-2</v>
      </c>
      <c r="I133" s="102">
        <f t="shared" ref="I133:I196" si="35">IF(AND(Z133&gt;=$F$423,Z133&lt;=$F$424),Z133,"NMF")</f>
        <v>5.6600000000000004E-2</v>
      </c>
      <c r="J133" s="528">
        <v>367.38499999999999</v>
      </c>
      <c r="K133" s="529">
        <f t="shared" ref="K133:K193" si="36">J133*D133/1000</f>
        <v>23.038713349999998</v>
      </c>
      <c r="L133" s="530">
        <f t="shared" ref="L133:L196" si="37">K133/K$408</f>
        <v>5.6522434306096919E-4</v>
      </c>
      <c r="M133" s="531">
        <f t="shared" ref="M133:M193" si="38">F133*L133</f>
        <v>2.7490579593939658E-5</v>
      </c>
      <c r="N133" s="532">
        <f t="shared" ref="N133:N193" si="39">IF(G133="n/a","--",IF(G133="NMF","--",$K133))</f>
        <v>23.038713349999998</v>
      </c>
      <c r="O133" s="533">
        <f t="shared" ref="O133:O196" si="40">IF(N133="--","--",N133/N$408)</f>
        <v>6.8817385631032824E-4</v>
      </c>
      <c r="P133" s="533">
        <f t="shared" ref="P133:P193" si="41">IF(O133="--","--",G133*O133)</f>
        <v>3.6473214384447397E-5</v>
      </c>
      <c r="Q133" s="532">
        <f t="shared" ref="Q133:Q193" si="42">IF(H133="n/a","--",IF(H133="NMF","--",$K133))</f>
        <v>23.038713349999998</v>
      </c>
      <c r="R133" s="534">
        <f t="shared" ref="R133:R196" si="43">IF(Q133="--","--",Q133/Q$408)</f>
        <v>6.9376289626350352E-4</v>
      </c>
      <c r="S133" s="533">
        <f t="shared" ref="S133:S193" si="44">IF(R133="--","--",H133*R133)</f>
        <v>3.8156959294492697E-5</v>
      </c>
      <c r="T133" s="532">
        <f t="shared" ref="T133:T193" si="45">IF(I133="n/a","--",IF(I133="NMF","--",$K133))</f>
        <v>23.038713349999998</v>
      </c>
      <c r="U133" s="534">
        <f t="shared" ref="U133:U196" si="46">IF(T133="--","--",T133/T$408)</f>
        <v>6.4258904222841081E-4</v>
      </c>
      <c r="V133" s="533">
        <f t="shared" ref="V133:V193" si="47">IF(U133="--","--",I133*U133)</f>
        <v>3.6370539790128054E-5</v>
      </c>
      <c r="W133" s="533"/>
      <c r="X133" s="535">
        <v>5.2999999999999999E-2</v>
      </c>
      <c r="Y133" s="535">
        <v>5.5E-2</v>
      </c>
      <c r="Z133" s="535">
        <v>5.6600000000000004E-2</v>
      </c>
    </row>
    <row r="134" spans="1:26" ht="14.5">
      <c r="A134" s="509">
        <v>130</v>
      </c>
      <c r="B134" s="524" t="s">
        <v>751</v>
      </c>
      <c r="C134" s="525" t="s">
        <v>752</v>
      </c>
      <c r="D134" s="526">
        <v>281.64999999999998</v>
      </c>
      <c r="E134" s="527">
        <v>10.3</v>
      </c>
      <c r="F134" s="101">
        <f t="shared" si="32"/>
        <v>3.657021125510386E-2</v>
      </c>
      <c r="G134" s="102" t="str">
        <f t="shared" si="33"/>
        <v>NMF</v>
      </c>
      <c r="H134" s="102">
        <f t="shared" si="34"/>
        <v>0.03</v>
      </c>
      <c r="I134" s="102">
        <f t="shared" si="35"/>
        <v>3.0099999999999998E-2</v>
      </c>
      <c r="J134" s="528">
        <v>64.325999999999993</v>
      </c>
      <c r="K134" s="529">
        <f t="shared" si="36"/>
        <v>18.117417899999996</v>
      </c>
      <c r="L134" s="530">
        <f t="shared" si="37"/>
        <v>4.4448687194107318E-4</v>
      </c>
      <c r="M134" s="531">
        <f t="shared" si="38"/>
        <v>1.6254978807005344E-5</v>
      </c>
      <c r="N134" s="532" t="str">
        <f t="shared" si="39"/>
        <v>--</v>
      </c>
      <c r="O134" s="533" t="str">
        <f t="shared" si="40"/>
        <v>--</v>
      </c>
      <c r="P134" s="533" t="str">
        <f t="shared" si="41"/>
        <v>--</v>
      </c>
      <c r="Q134" s="532">
        <f t="shared" si="42"/>
        <v>18.117417899999996</v>
      </c>
      <c r="R134" s="534">
        <f t="shared" si="43"/>
        <v>5.4556832771740873E-4</v>
      </c>
      <c r="S134" s="533">
        <f t="shared" si="44"/>
        <v>1.6367049831522261E-5</v>
      </c>
      <c r="T134" s="532">
        <f t="shared" si="45"/>
        <v>18.117417899999996</v>
      </c>
      <c r="U134" s="534">
        <f t="shared" si="46"/>
        <v>5.0532571151647512E-4</v>
      </c>
      <c r="V134" s="533">
        <f t="shared" si="47"/>
        <v>1.52103039166459E-5</v>
      </c>
      <c r="W134" s="533"/>
      <c r="X134" s="535" t="s">
        <v>36</v>
      </c>
      <c r="Y134" s="535">
        <v>0.03</v>
      </c>
      <c r="Z134" s="535">
        <v>3.0099999999999998E-2</v>
      </c>
    </row>
    <row r="135" spans="1:26" ht="14.5">
      <c r="A135" s="509">
        <v>131</v>
      </c>
      <c r="B135" s="524" t="s">
        <v>753</v>
      </c>
      <c r="C135" s="525" t="s">
        <v>754</v>
      </c>
      <c r="D135" s="526">
        <v>307.04000000000002</v>
      </c>
      <c r="E135" s="527">
        <v>4.16</v>
      </c>
      <c r="F135" s="101">
        <f t="shared" si="32"/>
        <v>1.354872329338197E-2</v>
      </c>
      <c r="G135" s="102">
        <f t="shared" si="33"/>
        <v>0.11869999999999999</v>
      </c>
      <c r="H135" s="102">
        <f t="shared" si="34"/>
        <v>0.11</v>
      </c>
      <c r="I135" s="102">
        <f t="shared" si="35"/>
        <v>0.1057</v>
      </c>
      <c r="J135" s="528">
        <v>391.3</v>
      </c>
      <c r="K135" s="529">
        <f t="shared" si="36"/>
        <v>120.14475200000001</v>
      </c>
      <c r="L135" s="530">
        <f t="shared" si="37"/>
        <v>2.9475924931121676E-3</v>
      </c>
      <c r="M135" s="531">
        <f t="shared" si="38"/>
        <v>3.9936115070826659E-5</v>
      </c>
      <c r="N135" s="532">
        <f t="shared" si="39"/>
        <v>120.14475200000001</v>
      </c>
      <c r="O135" s="533">
        <f t="shared" si="40"/>
        <v>3.5887627943115164E-3</v>
      </c>
      <c r="P135" s="533">
        <f t="shared" si="41"/>
        <v>4.2598614368477696E-4</v>
      </c>
      <c r="Q135" s="532">
        <f t="shared" si="42"/>
        <v>120.14475200000001</v>
      </c>
      <c r="R135" s="534">
        <f t="shared" si="43"/>
        <v>3.6179091189734503E-3</v>
      </c>
      <c r="S135" s="533">
        <f t="shared" si="44"/>
        <v>3.9797000308707951E-4</v>
      </c>
      <c r="T135" s="532">
        <f t="shared" si="45"/>
        <v>120.14475200000001</v>
      </c>
      <c r="U135" s="534">
        <f t="shared" si="46"/>
        <v>3.3510422193976362E-3</v>
      </c>
      <c r="V135" s="533">
        <f t="shared" si="47"/>
        <v>3.5420516259033016E-4</v>
      </c>
      <c r="W135" s="533"/>
      <c r="X135" s="535">
        <v>0.11869999999999999</v>
      </c>
      <c r="Y135" s="535">
        <v>0.11</v>
      </c>
      <c r="Z135" s="535">
        <v>0.1057</v>
      </c>
    </row>
    <row r="136" spans="1:26" ht="14.5">
      <c r="A136" s="509">
        <v>132</v>
      </c>
      <c r="B136" s="524" t="s">
        <v>755</v>
      </c>
      <c r="C136" s="525" t="s">
        <v>756</v>
      </c>
      <c r="D136" s="526">
        <v>83.31</v>
      </c>
      <c r="E136" s="527">
        <v>2.4</v>
      </c>
      <c r="F136" s="101">
        <f t="shared" si="32"/>
        <v>2.8808066258552392E-2</v>
      </c>
      <c r="G136" s="102">
        <f t="shared" si="33"/>
        <v>9.6329999999999985E-2</v>
      </c>
      <c r="H136" s="102">
        <f t="shared" si="34"/>
        <v>0.03</v>
      </c>
      <c r="I136" s="102">
        <f t="shared" si="35"/>
        <v>9.4600000000000004E-2</v>
      </c>
      <c r="J136" s="528">
        <v>430.774</v>
      </c>
      <c r="K136" s="529">
        <f t="shared" si="36"/>
        <v>35.887781940000004</v>
      </c>
      <c r="L136" s="530">
        <f t="shared" si="37"/>
        <v>8.8045923671131656E-4</v>
      </c>
      <c r="M136" s="531">
        <f t="shared" si="38"/>
        <v>2.5364328029134071E-5</v>
      </c>
      <c r="N136" s="532">
        <f t="shared" si="39"/>
        <v>35.887781940000004</v>
      </c>
      <c r="O136" s="533">
        <f t="shared" si="40"/>
        <v>1.0719797115785531E-3</v>
      </c>
      <c r="P136" s="533">
        <f t="shared" si="41"/>
        <v>1.03263805616362E-4</v>
      </c>
      <c r="Q136" s="532">
        <f t="shared" si="42"/>
        <v>35.887781940000004</v>
      </c>
      <c r="R136" s="534">
        <f t="shared" si="43"/>
        <v>1.0806858508514521E-3</v>
      </c>
      <c r="S136" s="533">
        <f t="shared" si="44"/>
        <v>3.2420575525543562E-5</v>
      </c>
      <c r="T136" s="532">
        <f t="shared" si="45"/>
        <v>35.887781940000004</v>
      </c>
      <c r="U136" s="534">
        <f t="shared" si="46"/>
        <v>1.000971498459425E-3</v>
      </c>
      <c r="V136" s="533">
        <f t="shared" si="47"/>
        <v>9.4691903754261605E-5</v>
      </c>
      <c r="W136" s="533"/>
      <c r="X136" s="535">
        <v>9.6329999999999985E-2</v>
      </c>
      <c r="Y136" s="535">
        <v>0.03</v>
      </c>
      <c r="Z136" s="535">
        <v>9.4600000000000004E-2</v>
      </c>
    </row>
    <row r="137" spans="1:26" ht="14.5">
      <c r="A137" s="509">
        <v>133</v>
      </c>
      <c r="B137" s="524" t="s">
        <v>757</v>
      </c>
      <c r="C137" s="525" t="s">
        <v>758</v>
      </c>
      <c r="D137" s="526">
        <v>66.56</v>
      </c>
      <c r="E137" s="527">
        <v>2.71</v>
      </c>
      <c r="F137" s="101">
        <f t="shared" si="32"/>
        <v>4.0715144230769232E-2</v>
      </c>
      <c r="G137" s="102">
        <f t="shared" si="33"/>
        <v>0.06</v>
      </c>
      <c r="H137" s="102">
        <f t="shared" si="34"/>
        <v>5.5E-2</v>
      </c>
      <c r="I137" s="102">
        <f t="shared" si="35"/>
        <v>5.7000000000000002E-2</v>
      </c>
      <c r="J137" s="528">
        <v>230.01300000000001</v>
      </c>
      <c r="K137" s="529">
        <f t="shared" si="36"/>
        <v>15.309665280000001</v>
      </c>
      <c r="L137" s="530">
        <f t="shared" si="37"/>
        <v>3.7560237713410894E-4</v>
      </c>
      <c r="M137" s="531">
        <f t="shared" si="38"/>
        <v>1.5292704958435023E-5</v>
      </c>
      <c r="N137" s="532">
        <f t="shared" si="39"/>
        <v>15.309665280000001</v>
      </c>
      <c r="O137" s="533">
        <f t="shared" si="40"/>
        <v>4.573046781954055E-4</v>
      </c>
      <c r="P137" s="533">
        <f t="shared" si="41"/>
        <v>2.743828069172433E-5</v>
      </c>
      <c r="Q137" s="532">
        <f t="shared" si="42"/>
        <v>15.309665280000001</v>
      </c>
      <c r="R137" s="534">
        <f t="shared" si="43"/>
        <v>4.6101870204820283E-4</v>
      </c>
      <c r="S137" s="533">
        <f t="shared" si="44"/>
        <v>2.5356028612651154E-5</v>
      </c>
      <c r="T137" s="532">
        <f t="shared" si="45"/>
        <v>15.309665280000001</v>
      </c>
      <c r="U137" s="534">
        <f t="shared" si="46"/>
        <v>4.2701269813371566E-4</v>
      </c>
      <c r="V137" s="533">
        <f t="shared" si="47"/>
        <v>2.4339723793621794E-5</v>
      </c>
      <c r="W137" s="533"/>
      <c r="X137" s="535">
        <v>0.06</v>
      </c>
      <c r="Y137" s="535">
        <v>5.5E-2</v>
      </c>
      <c r="Z137" s="535">
        <v>5.7000000000000002E-2</v>
      </c>
    </row>
    <row r="138" spans="1:26" ht="14.5">
      <c r="A138" s="509">
        <v>134</v>
      </c>
      <c r="B138" s="524" t="s">
        <v>759</v>
      </c>
      <c r="C138" s="525" t="s">
        <v>760</v>
      </c>
      <c r="D138" s="526">
        <v>45.1</v>
      </c>
      <c r="E138" s="527">
        <v>1.62</v>
      </c>
      <c r="F138" s="101">
        <f t="shared" si="32"/>
        <v>3.5920177383592017E-2</v>
      </c>
      <c r="G138" s="102">
        <f t="shared" si="33"/>
        <v>6.1500000000000006E-2</v>
      </c>
      <c r="H138" s="102">
        <f t="shared" si="34"/>
        <v>0.06</v>
      </c>
      <c r="I138" s="102">
        <f t="shared" si="35"/>
        <v>6.4199999999999993E-2</v>
      </c>
      <c r="J138" s="528">
        <v>1009.5359999999999</v>
      </c>
      <c r="K138" s="529">
        <f t="shared" si="36"/>
        <v>45.530073599999994</v>
      </c>
      <c r="L138" s="530">
        <f t="shared" si="37"/>
        <v>1.1170201021697931E-3</v>
      </c>
      <c r="M138" s="531">
        <f t="shared" si="38"/>
        <v>4.0123560210977042E-5</v>
      </c>
      <c r="N138" s="532">
        <f t="shared" si="39"/>
        <v>45.530073599999994</v>
      </c>
      <c r="O138" s="533">
        <f t="shared" si="40"/>
        <v>1.3599980976109966E-3</v>
      </c>
      <c r="P138" s="533">
        <f t="shared" si="41"/>
        <v>8.36398830030763E-5</v>
      </c>
      <c r="Q138" s="532">
        <f t="shared" si="42"/>
        <v>45.530073599999994</v>
      </c>
      <c r="R138" s="534">
        <f t="shared" si="43"/>
        <v>1.3710433932642545E-3</v>
      </c>
      <c r="S138" s="533">
        <f t="shared" si="44"/>
        <v>8.226260359585527E-5</v>
      </c>
      <c r="T138" s="532">
        <f t="shared" si="45"/>
        <v>45.530073599999994</v>
      </c>
      <c r="U138" s="534">
        <f t="shared" si="46"/>
        <v>1.2699114721705172E-3</v>
      </c>
      <c r="V138" s="533">
        <f t="shared" si="47"/>
        <v>8.1528316513347198E-5</v>
      </c>
      <c r="W138" s="533"/>
      <c r="X138" s="535">
        <v>6.1500000000000006E-2</v>
      </c>
      <c r="Y138" s="535">
        <v>0.06</v>
      </c>
      <c r="Z138" s="535">
        <v>6.4199999999999993E-2</v>
      </c>
    </row>
    <row r="139" spans="1:26" ht="14.5">
      <c r="A139" s="509">
        <v>135</v>
      </c>
      <c r="B139" s="524" t="s">
        <v>761</v>
      </c>
      <c r="C139" s="525" t="s">
        <v>762</v>
      </c>
      <c r="D139" s="526">
        <v>110.24</v>
      </c>
      <c r="E139" s="527">
        <v>1.46</v>
      </c>
      <c r="F139" s="101">
        <f t="shared" si="32"/>
        <v>1.3243831640058056E-2</v>
      </c>
      <c r="G139" s="102">
        <f t="shared" si="33"/>
        <v>1.2500000000000001E-2</v>
      </c>
      <c r="H139" s="102" t="str">
        <f t="shared" si="34"/>
        <v>NMF</v>
      </c>
      <c r="I139" s="102">
        <f t="shared" si="35"/>
        <v>3.5400000000000001E-2</v>
      </c>
      <c r="J139" s="528">
        <v>136.733</v>
      </c>
      <c r="K139" s="529">
        <f t="shared" si="36"/>
        <v>15.073445919999999</v>
      </c>
      <c r="L139" s="530">
        <f t="shared" si="37"/>
        <v>3.6980704774457586E-4</v>
      </c>
      <c r="M139" s="531">
        <f t="shared" si="38"/>
        <v>4.8976622796360741E-6</v>
      </c>
      <c r="N139" s="532">
        <f t="shared" si="39"/>
        <v>15.073445919999999</v>
      </c>
      <c r="O139" s="533">
        <f t="shared" si="40"/>
        <v>4.5024872913102952E-4</v>
      </c>
      <c r="P139" s="533">
        <f t="shared" si="41"/>
        <v>5.6281091141378692E-6</v>
      </c>
      <c r="Q139" s="532" t="str">
        <f t="shared" si="42"/>
        <v>--</v>
      </c>
      <c r="R139" s="534" t="str">
        <f t="shared" si="43"/>
        <v>--</v>
      </c>
      <c r="S139" s="533" t="str">
        <f t="shared" si="44"/>
        <v>--</v>
      </c>
      <c r="T139" s="532">
        <f t="shared" si="45"/>
        <v>15.073445919999999</v>
      </c>
      <c r="U139" s="534">
        <f t="shared" si="46"/>
        <v>4.2042413695878315E-4</v>
      </c>
      <c r="V139" s="533">
        <f t="shared" si="47"/>
        <v>1.4883014448340924E-5</v>
      </c>
      <c r="W139" s="533"/>
      <c r="X139" s="535">
        <v>1.2500000000000001E-2</v>
      </c>
      <c r="Y139" s="535">
        <v>-5.0000000000000001E-3</v>
      </c>
      <c r="Z139" s="535">
        <v>3.5400000000000001E-2</v>
      </c>
    </row>
    <row r="140" spans="1:26" ht="14.5">
      <c r="A140" s="509">
        <v>136</v>
      </c>
      <c r="B140" s="524" t="s">
        <v>1527</v>
      </c>
      <c r="C140" s="525" t="s">
        <v>1528</v>
      </c>
      <c r="D140" s="526">
        <v>168.99</v>
      </c>
      <c r="E140" s="527">
        <v>1.6</v>
      </c>
      <c r="F140" s="101">
        <f t="shared" si="32"/>
        <v>9.4680158589265633E-3</v>
      </c>
      <c r="G140" s="102">
        <f t="shared" si="33"/>
        <v>0.15767</v>
      </c>
      <c r="H140" s="102">
        <f t="shared" si="34"/>
        <v>0.2</v>
      </c>
      <c r="I140" s="102">
        <f t="shared" si="35"/>
        <v>0.18230000000000002</v>
      </c>
      <c r="J140" s="528">
        <v>127.565</v>
      </c>
      <c r="K140" s="529">
        <f t="shared" si="36"/>
        <v>21.557209350000001</v>
      </c>
      <c r="L140" s="530">
        <f t="shared" si="37"/>
        <v>5.2887760301429916E-4</v>
      </c>
      <c r="M140" s="531">
        <f t="shared" si="38"/>
        <v>5.0074215327704513E-6</v>
      </c>
      <c r="N140" s="532">
        <f t="shared" si="39"/>
        <v>21.557209350000001</v>
      </c>
      <c r="O140" s="533">
        <f t="shared" si="40"/>
        <v>6.4392085027953903E-4</v>
      </c>
      <c r="P140" s="533">
        <f t="shared" si="41"/>
        <v>1.0152700046357492E-4</v>
      </c>
      <c r="Q140" s="532">
        <f t="shared" si="42"/>
        <v>21.557209350000001</v>
      </c>
      <c r="R140" s="534">
        <f t="shared" si="43"/>
        <v>6.4915048713059663E-4</v>
      </c>
      <c r="S140" s="533">
        <f t="shared" si="44"/>
        <v>1.2983009742611933E-4</v>
      </c>
      <c r="T140" s="532">
        <f t="shared" si="45"/>
        <v>21.557209350000001</v>
      </c>
      <c r="U140" s="534">
        <f t="shared" si="46"/>
        <v>6.0126736675309355E-4</v>
      </c>
      <c r="V140" s="533">
        <f t="shared" si="47"/>
        <v>1.0961104095908896E-4</v>
      </c>
      <c r="W140" s="533"/>
      <c r="X140" s="535">
        <v>0.15767</v>
      </c>
      <c r="Y140" s="535">
        <v>0.2</v>
      </c>
      <c r="Z140" s="535">
        <v>0.18230000000000002</v>
      </c>
    </row>
    <row r="141" spans="1:26" ht="14.5">
      <c r="A141" s="509">
        <v>137</v>
      </c>
      <c r="B141" s="524" t="s">
        <v>763</v>
      </c>
      <c r="C141" s="525" t="s">
        <v>764</v>
      </c>
      <c r="D141" s="526">
        <v>147.43</v>
      </c>
      <c r="E141" s="527">
        <v>6.66</v>
      </c>
      <c r="F141" s="101">
        <f t="shared" si="32"/>
        <v>4.517398087227837E-2</v>
      </c>
      <c r="G141" s="102">
        <f t="shared" si="33"/>
        <v>6.9800000000000001E-2</v>
      </c>
      <c r="H141" s="102" t="str">
        <f t="shared" si="34"/>
        <v>NMF</v>
      </c>
      <c r="I141" s="102">
        <f t="shared" si="35"/>
        <v>4.9100000000000005E-2</v>
      </c>
      <c r="J141" s="528">
        <v>212.21100000000001</v>
      </c>
      <c r="K141" s="529">
        <f t="shared" si="36"/>
        <v>31.286267730000002</v>
      </c>
      <c r="L141" s="530">
        <f t="shared" si="37"/>
        <v>7.6756717512260091E-4</v>
      </c>
      <c r="M141" s="531">
        <f t="shared" si="38"/>
        <v>3.4674064887177114E-5</v>
      </c>
      <c r="N141" s="532">
        <f t="shared" si="39"/>
        <v>31.286267730000002</v>
      </c>
      <c r="O141" s="533">
        <f t="shared" si="40"/>
        <v>9.3453098644119743E-4</v>
      </c>
      <c r="P141" s="533">
        <f t="shared" si="41"/>
        <v>6.5230262853595576E-5</v>
      </c>
      <c r="Q141" s="532" t="str">
        <f t="shared" si="42"/>
        <v>--</v>
      </c>
      <c r="R141" s="534" t="str">
        <f t="shared" si="43"/>
        <v>--</v>
      </c>
      <c r="S141" s="533" t="str">
        <f t="shared" si="44"/>
        <v>--</v>
      </c>
      <c r="T141" s="532">
        <f t="shared" si="45"/>
        <v>31.286267730000002</v>
      </c>
      <c r="U141" s="534">
        <f t="shared" si="46"/>
        <v>8.7262741239507366E-4</v>
      </c>
      <c r="V141" s="533">
        <f t="shared" si="47"/>
        <v>4.2846005948598123E-5</v>
      </c>
      <c r="W141" s="533"/>
      <c r="X141" s="535">
        <v>6.9800000000000001E-2</v>
      </c>
      <c r="Y141" s="535">
        <v>-5.0000000000000001E-3</v>
      </c>
      <c r="Z141" s="535">
        <v>4.9100000000000005E-2</v>
      </c>
    </row>
    <row r="142" spans="1:26" ht="14.5">
      <c r="A142" s="509">
        <v>138</v>
      </c>
      <c r="B142" s="524" t="s">
        <v>765</v>
      </c>
      <c r="C142" s="525" t="s">
        <v>328</v>
      </c>
      <c r="D142" s="526">
        <v>10.28</v>
      </c>
      <c r="E142" s="527">
        <v>0.6</v>
      </c>
      <c r="F142" s="101">
        <f t="shared" si="32"/>
        <v>5.8365758754863814E-2</v>
      </c>
      <c r="G142" s="102" t="str">
        <f t="shared" si="33"/>
        <v>NMF</v>
      </c>
      <c r="H142" s="102">
        <f t="shared" si="34"/>
        <v>0.16500000000000001</v>
      </c>
      <c r="I142" s="102">
        <f t="shared" si="35"/>
        <v>0.10539999999999999</v>
      </c>
      <c r="J142" s="528">
        <v>3976.549</v>
      </c>
      <c r="K142" s="529">
        <f t="shared" si="36"/>
        <v>40.878923719999996</v>
      </c>
      <c r="L142" s="530">
        <f t="shared" si="37"/>
        <v>1.0029102951044995E-3</v>
      </c>
      <c r="M142" s="531">
        <f t="shared" si="38"/>
        <v>5.8535620336838491E-5</v>
      </c>
      <c r="N142" s="532" t="str">
        <f t="shared" si="39"/>
        <v>--</v>
      </c>
      <c r="O142" s="533" t="str">
        <f t="shared" si="40"/>
        <v>--</v>
      </c>
      <c r="P142" s="533" t="str">
        <f t="shared" si="41"/>
        <v>--</v>
      </c>
      <c r="Q142" s="532">
        <f t="shared" si="42"/>
        <v>40.878923719999996</v>
      </c>
      <c r="R142" s="534">
        <f t="shared" si="43"/>
        <v>1.2309836962367533E-3</v>
      </c>
      <c r="S142" s="533">
        <f t="shared" si="44"/>
        <v>2.0311230987906431E-4</v>
      </c>
      <c r="T142" s="532">
        <f t="shared" si="45"/>
        <v>40.878923719999996</v>
      </c>
      <c r="U142" s="534">
        <f t="shared" si="46"/>
        <v>1.1401829625421796E-3</v>
      </c>
      <c r="V142" s="533">
        <f t="shared" si="47"/>
        <v>1.2017528425194573E-4</v>
      </c>
      <c r="W142" s="533"/>
      <c r="X142" s="535">
        <v>-8.7349999999999997E-2</v>
      </c>
      <c r="Y142" s="535">
        <v>0.16500000000000001</v>
      </c>
      <c r="Z142" s="535">
        <v>0.10539999999999999</v>
      </c>
    </row>
    <row r="143" spans="1:26" ht="14.5">
      <c r="A143" s="509">
        <v>139</v>
      </c>
      <c r="B143" s="524" t="s">
        <v>766</v>
      </c>
      <c r="C143" s="525" t="s">
        <v>767</v>
      </c>
      <c r="D143" s="526">
        <v>136.18</v>
      </c>
      <c r="E143" s="527">
        <v>4</v>
      </c>
      <c r="F143" s="101">
        <f t="shared" si="32"/>
        <v>2.93728888236158E-2</v>
      </c>
      <c r="G143" s="102">
        <f t="shared" si="33"/>
        <v>3.0000000000000001E-3</v>
      </c>
      <c r="H143" s="102">
        <f t="shared" si="34"/>
        <v>1.4999999999999999E-2</v>
      </c>
      <c r="I143" s="102">
        <f t="shared" si="35"/>
        <v>8.3400000000000002E-2</v>
      </c>
      <c r="J143" s="528">
        <v>294.08300000000003</v>
      </c>
      <c r="K143" s="529">
        <f t="shared" si="36"/>
        <v>40.048222940000009</v>
      </c>
      <c r="L143" s="530">
        <f t="shared" si="37"/>
        <v>9.8253015080031572E-4</v>
      </c>
      <c r="M143" s="531">
        <f t="shared" si="38"/>
        <v>2.8859748885308139E-5</v>
      </c>
      <c r="N143" s="532">
        <f t="shared" si="39"/>
        <v>40.048222940000009</v>
      </c>
      <c r="O143" s="533">
        <f t="shared" si="40"/>
        <v>1.19625343656596E-3</v>
      </c>
      <c r="P143" s="533">
        <f t="shared" si="41"/>
        <v>3.5887603096978799E-6</v>
      </c>
      <c r="Q143" s="532">
        <f t="shared" si="42"/>
        <v>40.048222940000009</v>
      </c>
      <c r="R143" s="534">
        <f t="shared" si="43"/>
        <v>1.2059688713936315E-3</v>
      </c>
      <c r="S143" s="533">
        <f t="shared" si="44"/>
        <v>1.8089533070904471E-5</v>
      </c>
      <c r="T143" s="532">
        <f t="shared" si="45"/>
        <v>40.048222940000009</v>
      </c>
      <c r="U143" s="534">
        <f t="shared" si="46"/>
        <v>1.1170132997884831E-3</v>
      </c>
      <c r="V143" s="533">
        <f t="shared" si="47"/>
        <v>9.3158909202359496E-5</v>
      </c>
      <c r="W143" s="533"/>
      <c r="X143" s="535">
        <v>3.0000000000000001E-3</v>
      </c>
      <c r="Y143" s="535">
        <v>1.4999999999999999E-2</v>
      </c>
      <c r="Z143" s="535">
        <v>8.3400000000000002E-2</v>
      </c>
    </row>
    <row r="144" spans="1:26" ht="14.5">
      <c r="A144" s="509">
        <v>140</v>
      </c>
      <c r="B144" s="524" t="s">
        <v>768</v>
      </c>
      <c r="C144" s="525" t="s">
        <v>769</v>
      </c>
      <c r="D144" s="526">
        <v>79.290000000000006</v>
      </c>
      <c r="E144" s="527">
        <v>1.76</v>
      </c>
      <c r="F144" s="101">
        <f t="shared" si="32"/>
        <v>2.2196998360448982E-2</v>
      </c>
      <c r="G144" s="102" t="str">
        <f t="shared" si="33"/>
        <v>NMF</v>
      </c>
      <c r="H144" s="102">
        <f t="shared" si="34"/>
        <v>0.08</v>
      </c>
      <c r="I144" s="102">
        <f t="shared" si="35"/>
        <v>9.7599999999999992E-2</v>
      </c>
      <c r="J144" s="528">
        <v>573.62099999999998</v>
      </c>
      <c r="K144" s="529">
        <f t="shared" si="36"/>
        <v>45.482409090000004</v>
      </c>
      <c r="L144" s="530">
        <f t="shared" si="37"/>
        <v>1.1158507164952208E-3</v>
      </c>
      <c r="M144" s="531">
        <f t="shared" si="38"/>
        <v>2.4768536524550239E-5</v>
      </c>
      <c r="N144" s="532" t="str">
        <f t="shared" si="39"/>
        <v>--</v>
      </c>
      <c r="O144" s="533" t="str">
        <f t="shared" si="40"/>
        <v>--</v>
      </c>
      <c r="P144" s="533" t="str">
        <f t="shared" si="41"/>
        <v>--</v>
      </c>
      <c r="Q144" s="532">
        <f t="shared" si="42"/>
        <v>45.482409090000004</v>
      </c>
      <c r="R144" s="534">
        <f t="shared" si="43"/>
        <v>1.3696080757617439E-3</v>
      </c>
      <c r="S144" s="533">
        <f t="shared" si="44"/>
        <v>1.0956864606093952E-4</v>
      </c>
      <c r="T144" s="532">
        <f t="shared" si="45"/>
        <v>45.482409090000004</v>
      </c>
      <c r="U144" s="534">
        <f t="shared" si="46"/>
        <v>1.2685820276236853E-3</v>
      </c>
      <c r="V144" s="533">
        <f t="shared" si="47"/>
        <v>1.2381360589607167E-4</v>
      </c>
      <c r="W144" s="533"/>
      <c r="X144" s="535" t="s">
        <v>36</v>
      </c>
      <c r="Y144" s="535">
        <v>0.08</v>
      </c>
      <c r="Z144" s="535">
        <v>9.7599999999999992E-2</v>
      </c>
    </row>
    <row r="145" spans="1:26" ht="14.5">
      <c r="A145" s="509">
        <v>141</v>
      </c>
      <c r="B145" s="524" t="s">
        <v>770</v>
      </c>
      <c r="C145" s="525" t="s">
        <v>771</v>
      </c>
      <c r="D145" s="526">
        <v>37.479999999999997</v>
      </c>
      <c r="E145" s="527">
        <v>0.6</v>
      </c>
      <c r="F145" s="101">
        <f t="shared" si="32"/>
        <v>1.6008537886872998E-2</v>
      </c>
      <c r="G145" s="102" t="str">
        <f t="shared" si="33"/>
        <v>NMF</v>
      </c>
      <c r="H145" s="102">
        <f t="shared" si="34"/>
        <v>0.17499999999999999</v>
      </c>
      <c r="I145" s="102" t="str">
        <f t="shared" si="35"/>
        <v>NMF</v>
      </c>
      <c r="J145" s="528">
        <v>1436.2</v>
      </c>
      <c r="K145" s="529">
        <f t="shared" si="36"/>
        <v>53.828775999999998</v>
      </c>
      <c r="L145" s="530">
        <f t="shared" si="37"/>
        <v>1.3206177832138385E-3</v>
      </c>
      <c r="M145" s="531">
        <f t="shared" si="38"/>
        <v>2.1141159816656965E-5</v>
      </c>
      <c r="N145" s="532" t="str">
        <f t="shared" si="39"/>
        <v>--</v>
      </c>
      <c r="O145" s="533" t="str">
        <f t="shared" si="40"/>
        <v>--</v>
      </c>
      <c r="P145" s="533" t="str">
        <f t="shared" si="41"/>
        <v>--</v>
      </c>
      <c r="Q145" s="532">
        <f t="shared" si="42"/>
        <v>53.828775999999998</v>
      </c>
      <c r="R145" s="534">
        <f t="shared" si="43"/>
        <v>1.6209415418625957E-3</v>
      </c>
      <c r="S145" s="533">
        <f t="shared" si="44"/>
        <v>2.8366476982595422E-4</v>
      </c>
      <c r="T145" s="532" t="str">
        <f t="shared" si="45"/>
        <v>--</v>
      </c>
      <c r="U145" s="534" t="str">
        <f t="shared" si="46"/>
        <v>--</v>
      </c>
      <c r="V145" s="533" t="str">
        <f t="shared" si="47"/>
        <v>--</v>
      </c>
      <c r="W145" s="533"/>
      <c r="X145" s="535">
        <v>0.47210000000000002</v>
      </c>
      <c r="Y145" s="535">
        <v>0.17499999999999999</v>
      </c>
      <c r="Z145" s="535">
        <v>0.31850000000000001</v>
      </c>
    </row>
    <row r="146" spans="1:26" ht="14.5">
      <c r="A146" s="509">
        <v>142</v>
      </c>
      <c r="B146" s="524" t="s">
        <v>772</v>
      </c>
      <c r="C146" s="525" t="s">
        <v>773</v>
      </c>
      <c r="D146" s="526">
        <v>448.49</v>
      </c>
      <c r="E146" s="527">
        <v>4.34</v>
      </c>
      <c r="F146" s="101">
        <f t="shared" si="32"/>
        <v>9.6769158732636171E-3</v>
      </c>
      <c r="G146" s="102">
        <f t="shared" si="33"/>
        <v>7.4499999999999997E-2</v>
      </c>
      <c r="H146" s="102">
        <f t="shared" si="34"/>
        <v>0.08</v>
      </c>
      <c r="I146" s="102">
        <f t="shared" si="35"/>
        <v>8.8000000000000009E-2</v>
      </c>
      <c r="J146" s="528">
        <v>37.947000000000003</v>
      </c>
      <c r="K146" s="529">
        <f t="shared" si="36"/>
        <v>17.018850030000003</v>
      </c>
      <c r="L146" s="530">
        <f t="shared" si="37"/>
        <v>4.1753496307379113E-4</v>
      </c>
      <c r="M146" s="531">
        <f t="shared" si="38"/>
        <v>4.0404507118113078E-6</v>
      </c>
      <c r="N146" s="532">
        <f t="shared" si="39"/>
        <v>17.018850030000003</v>
      </c>
      <c r="O146" s="533">
        <f t="shared" si="40"/>
        <v>5.0835858223446527E-4</v>
      </c>
      <c r="P146" s="533">
        <f t="shared" si="41"/>
        <v>3.7872714376467662E-5</v>
      </c>
      <c r="Q146" s="532">
        <f t="shared" si="42"/>
        <v>17.018850030000003</v>
      </c>
      <c r="R146" s="534">
        <f t="shared" si="43"/>
        <v>5.1248724303811942E-4</v>
      </c>
      <c r="S146" s="533">
        <f t="shared" si="44"/>
        <v>4.0998979443049556E-5</v>
      </c>
      <c r="T146" s="532">
        <f t="shared" si="45"/>
        <v>17.018850030000003</v>
      </c>
      <c r="U146" s="534">
        <f t="shared" si="46"/>
        <v>4.7468477837572744E-4</v>
      </c>
      <c r="V146" s="533">
        <f t="shared" si="47"/>
        <v>4.1772260497064016E-5</v>
      </c>
      <c r="W146" s="533"/>
      <c r="X146" s="535">
        <v>7.4499999999999997E-2</v>
      </c>
      <c r="Y146" s="535">
        <v>0.08</v>
      </c>
      <c r="Z146" s="535">
        <v>8.8000000000000009E-2</v>
      </c>
    </row>
    <row r="147" spans="1:26" ht="14.5">
      <c r="A147" s="509">
        <v>143</v>
      </c>
      <c r="B147" s="524" t="s">
        <v>774</v>
      </c>
      <c r="C147" s="525" t="s">
        <v>775</v>
      </c>
      <c r="D147" s="526">
        <v>219.21</v>
      </c>
      <c r="E147" s="527">
        <v>5.85</v>
      </c>
      <c r="F147" s="101">
        <f t="shared" si="32"/>
        <v>2.668673874367045E-2</v>
      </c>
      <c r="G147" s="102">
        <f t="shared" si="33"/>
        <v>0.11692999999999999</v>
      </c>
      <c r="H147" s="102">
        <f t="shared" si="34"/>
        <v>0.09</v>
      </c>
      <c r="I147" s="102">
        <f t="shared" si="35"/>
        <v>0.107</v>
      </c>
      <c r="J147" s="528">
        <v>239.59899999999999</v>
      </c>
      <c r="K147" s="529">
        <f t="shared" si="36"/>
        <v>52.522496789999998</v>
      </c>
      <c r="L147" s="530">
        <f t="shared" si="37"/>
        <v>1.2885699515007688E-3</v>
      </c>
      <c r="M147" s="531">
        <f t="shared" si="38"/>
        <v>3.4387729648645121E-5</v>
      </c>
      <c r="N147" s="532">
        <f t="shared" si="39"/>
        <v>52.522496789999998</v>
      </c>
      <c r="O147" s="533">
        <f t="shared" si="40"/>
        <v>1.5688640511264114E-3</v>
      </c>
      <c r="P147" s="533">
        <f t="shared" si="41"/>
        <v>1.8344727349821127E-4</v>
      </c>
      <c r="Q147" s="532">
        <f t="shared" si="42"/>
        <v>52.522496789999998</v>
      </c>
      <c r="R147" s="534">
        <f t="shared" si="43"/>
        <v>1.5816056625410882E-3</v>
      </c>
      <c r="S147" s="533">
        <f t="shared" si="44"/>
        <v>1.4234450962869794E-4</v>
      </c>
      <c r="T147" s="532">
        <f t="shared" si="45"/>
        <v>52.522496789999998</v>
      </c>
      <c r="U147" s="534">
        <f t="shared" si="46"/>
        <v>1.4649420909493142E-3</v>
      </c>
      <c r="V147" s="533">
        <f t="shared" si="47"/>
        <v>1.5674880373157661E-4</v>
      </c>
      <c r="W147" s="533"/>
      <c r="X147" s="535">
        <v>0.11692999999999999</v>
      </c>
      <c r="Y147" s="535">
        <v>0.09</v>
      </c>
      <c r="Z147" s="535">
        <v>0.107</v>
      </c>
    </row>
    <row r="148" spans="1:26" ht="14.5">
      <c r="A148" s="509">
        <v>144</v>
      </c>
      <c r="B148" s="524" t="s">
        <v>37</v>
      </c>
      <c r="C148" s="525" t="s">
        <v>776</v>
      </c>
      <c r="D148" s="526">
        <v>42.49</v>
      </c>
      <c r="E148" s="527">
        <v>1.8</v>
      </c>
      <c r="F148" s="101">
        <f t="shared" si="32"/>
        <v>4.2362908919745819E-2</v>
      </c>
      <c r="G148" s="102">
        <f t="shared" si="33"/>
        <v>5.9000000000000004E-2</v>
      </c>
      <c r="H148" s="102">
        <f t="shared" si="34"/>
        <v>4.4999999999999998E-2</v>
      </c>
      <c r="I148" s="102">
        <f t="shared" si="35"/>
        <v>6.4299999999999996E-2</v>
      </c>
      <c r="J148" s="528">
        <v>577.15599999999995</v>
      </c>
      <c r="K148" s="529">
        <f t="shared" si="36"/>
        <v>24.523358439999999</v>
      </c>
      <c r="L148" s="530">
        <f t="shared" si="37"/>
        <v>6.0164814559393251E-4</v>
      </c>
      <c r="M148" s="531">
        <f t="shared" si="38"/>
        <v>2.5487565593529736E-5</v>
      </c>
      <c r="N148" s="532">
        <f t="shared" si="39"/>
        <v>24.523358439999999</v>
      </c>
      <c r="O148" s="533">
        <f t="shared" si="40"/>
        <v>7.3252068772040326E-4</v>
      </c>
      <c r="P148" s="533">
        <f t="shared" si="41"/>
        <v>4.3218720575503798E-5</v>
      </c>
      <c r="Q148" s="532">
        <f t="shared" si="42"/>
        <v>24.523358439999999</v>
      </c>
      <c r="R148" s="534">
        <f t="shared" si="43"/>
        <v>7.3846989278341941E-4</v>
      </c>
      <c r="S148" s="533">
        <f t="shared" si="44"/>
        <v>3.3231145175253872E-5</v>
      </c>
      <c r="T148" s="532">
        <f t="shared" si="45"/>
        <v>24.523358439999999</v>
      </c>
      <c r="U148" s="534">
        <f t="shared" si="46"/>
        <v>6.8399832806564323E-4</v>
      </c>
      <c r="V148" s="533">
        <f t="shared" si="47"/>
        <v>4.3981092494620861E-5</v>
      </c>
      <c r="W148" s="533"/>
      <c r="X148" s="535">
        <v>5.9000000000000004E-2</v>
      </c>
      <c r="Y148" s="535">
        <v>4.4999999999999998E-2</v>
      </c>
      <c r="Z148" s="535">
        <v>6.4299999999999996E-2</v>
      </c>
    </row>
    <row r="149" spans="1:26" ht="14.5">
      <c r="A149" s="509">
        <v>145</v>
      </c>
      <c r="B149" s="524" t="s">
        <v>777</v>
      </c>
      <c r="C149" s="525" t="s">
        <v>778</v>
      </c>
      <c r="D149" s="526">
        <v>77.92</v>
      </c>
      <c r="E149" s="527">
        <v>1.64</v>
      </c>
      <c r="F149" s="101">
        <f t="shared" si="32"/>
        <v>2.1047227926078028E-2</v>
      </c>
      <c r="G149" s="102">
        <f t="shared" si="33"/>
        <v>9.3230000000000007E-2</v>
      </c>
      <c r="H149" s="102">
        <f t="shared" si="34"/>
        <v>3.5000000000000003E-2</v>
      </c>
      <c r="I149" s="102">
        <f t="shared" si="35"/>
        <v>9.3699999999999992E-2</v>
      </c>
      <c r="J149" s="528">
        <v>525.39499999999998</v>
      </c>
      <c r="K149" s="529">
        <f t="shared" si="36"/>
        <v>40.938778400000004</v>
      </c>
      <c r="L149" s="530">
        <f t="shared" si="37"/>
        <v>1.0043787504677903E-3</v>
      </c>
      <c r="M149" s="531">
        <f t="shared" si="38"/>
        <v>2.1139388485205033E-5</v>
      </c>
      <c r="N149" s="532">
        <f t="shared" si="39"/>
        <v>40.938778400000004</v>
      </c>
      <c r="O149" s="533">
        <f t="shared" si="40"/>
        <v>1.222854617623947E-3</v>
      </c>
      <c r="P149" s="533">
        <f t="shared" si="41"/>
        <v>1.1400673600108059E-4</v>
      </c>
      <c r="Q149" s="532">
        <f t="shared" si="42"/>
        <v>40.938778400000004</v>
      </c>
      <c r="R149" s="534">
        <f t="shared" si="43"/>
        <v>1.2327860953343457E-3</v>
      </c>
      <c r="S149" s="533">
        <f t="shared" si="44"/>
        <v>4.3147513336702104E-5</v>
      </c>
      <c r="T149" s="532">
        <f t="shared" si="45"/>
        <v>40.938778400000004</v>
      </c>
      <c r="U149" s="534">
        <f t="shared" si="46"/>
        <v>1.1418524117388332E-3</v>
      </c>
      <c r="V149" s="533">
        <f t="shared" si="47"/>
        <v>1.0699157097992865E-4</v>
      </c>
      <c r="W149" s="533"/>
      <c r="X149" s="535">
        <v>9.3230000000000007E-2</v>
      </c>
      <c r="Y149" s="535">
        <v>3.5000000000000003E-2</v>
      </c>
      <c r="Z149" s="535">
        <v>9.3699999999999992E-2</v>
      </c>
    </row>
    <row r="150" spans="1:26" ht="14.5">
      <c r="A150" s="509">
        <v>146</v>
      </c>
      <c r="B150" s="524" t="s">
        <v>779</v>
      </c>
      <c r="C150" s="525" t="s">
        <v>780</v>
      </c>
      <c r="D150" s="526">
        <v>37.26</v>
      </c>
      <c r="E150" s="527">
        <v>1.6</v>
      </c>
      <c r="F150" s="101">
        <f t="shared" si="32"/>
        <v>4.2941492216854539E-2</v>
      </c>
      <c r="G150" s="102" t="str">
        <f t="shared" si="33"/>
        <v>NMF</v>
      </c>
      <c r="H150" s="102">
        <f t="shared" si="34"/>
        <v>0.05</v>
      </c>
      <c r="I150" s="102">
        <f t="shared" si="35"/>
        <v>7.7499999999999999E-2</v>
      </c>
      <c r="J150" s="528">
        <v>667.49199999999996</v>
      </c>
      <c r="K150" s="529">
        <f t="shared" si="36"/>
        <v>24.87075192</v>
      </c>
      <c r="L150" s="530">
        <f t="shared" si="37"/>
        <v>6.1017098489201608E-4</v>
      </c>
      <c r="M150" s="531">
        <f t="shared" si="38"/>
        <v>2.6201652598690977E-5</v>
      </c>
      <c r="N150" s="532" t="str">
        <f t="shared" si="39"/>
        <v>--</v>
      </c>
      <c r="O150" s="533" t="str">
        <f t="shared" si="40"/>
        <v>--</v>
      </c>
      <c r="P150" s="533" t="str">
        <f t="shared" si="41"/>
        <v>--</v>
      </c>
      <c r="Q150" s="532">
        <f t="shared" si="42"/>
        <v>24.87075192</v>
      </c>
      <c r="R150" s="534">
        <f t="shared" si="43"/>
        <v>7.4893092431614855E-4</v>
      </c>
      <c r="S150" s="533">
        <f t="shared" si="44"/>
        <v>3.7446546215807428E-5</v>
      </c>
      <c r="T150" s="532">
        <f t="shared" si="45"/>
        <v>24.87075192</v>
      </c>
      <c r="U150" s="534">
        <f t="shared" si="46"/>
        <v>6.936877252206972E-4</v>
      </c>
      <c r="V150" s="533">
        <f t="shared" si="47"/>
        <v>5.3760798704604035E-5</v>
      </c>
      <c r="W150" s="533"/>
      <c r="X150" s="535" t="s">
        <v>36</v>
      </c>
      <c r="Y150" s="535">
        <v>0.05</v>
      </c>
      <c r="Z150" s="535">
        <v>7.7499999999999999E-2</v>
      </c>
    </row>
    <row r="151" spans="1:26" ht="14.5">
      <c r="A151" s="509">
        <v>147</v>
      </c>
      <c r="B151" s="524" t="s">
        <v>1529</v>
      </c>
      <c r="C151" s="525" t="s">
        <v>1530</v>
      </c>
      <c r="D151" s="526">
        <v>50.42</v>
      </c>
      <c r="E151" s="527">
        <v>0.54</v>
      </c>
      <c r="F151" s="101">
        <f t="shared" si="32"/>
        <v>1.0710035700119001E-2</v>
      </c>
      <c r="G151" s="102">
        <f t="shared" si="33"/>
        <v>9.9000000000000005E-2</v>
      </c>
      <c r="H151" s="102">
        <f t="shared" si="34"/>
        <v>7.0000000000000007E-2</v>
      </c>
      <c r="I151" s="102">
        <f t="shared" si="35"/>
        <v>0.10769999999999999</v>
      </c>
      <c r="J151" s="528">
        <v>217.84700000000001</v>
      </c>
      <c r="K151" s="529">
        <f t="shared" si="36"/>
        <v>10.983845740000001</v>
      </c>
      <c r="L151" s="530">
        <f t="shared" si="37"/>
        <v>2.6947411942492553E-4</v>
      </c>
      <c r="M151" s="531">
        <f t="shared" si="38"/>
        <v>2.8860774392990833E-6</v>
      </c>
      <c r="N151" s="532">
        <f t="shared" si="39"/>
        <v>10.983845740000001</v>
      </c>
      <c r="O151" s="533">
        <f t="shared" si="40"/>
        <v>3.2809104246325337E-4</v>
      </c>
      <c r="P151" s="533">
        <f t="shared" si="41"/>
        <v>3.2481013203862086E-5</v>
      </c>
      <c r="Q151" s="532">
        <f t="shared" si="42"/>
        <v>10.983845740000001</v>
      </c>
      <c r="R151" s="534">
        <f t="shared" si="43"/>
        <v>3.3075565101789618E-4</v>
      </c>
      <c r="S151" s="533">
        <f t="shared" si="44"/>
        <v>2.3152895571252734E-5</v>
      </c>
      <c r="T151" s="532">
        <f t="shared" si="45"/>
        <v>10.983845740000001</v>
      </c>
      <c r="U151" s="534">
        <f t="shared" si="46"/>
        <v>3.0635820702423083E-4</v>
      </c>
      <c r="V151" s="533">
        <f t="shared" si="47"/>
        <v>3.2994778896509657E-5</v>
      </c>
      <c r="W151" s="533"/>
      <c r="X151" s="535">
        <v>9.9000000000000005E-2</v>
      </c>
      <c r="Y151" s="535">
        <v>7.0000000000000007E-2</v>
      </c>
      <c r="Z151" s="535">
        <v>0.10769999999999999</v>
      </c>
    </row>
    <row r="152" spans="1:26" ht="14.5">
      <c r="A152" s="509">
        <v>148</v>
      </c>
      <c r="B152" s="524" t="s">
        <v>781</v>
      </c>
      <c r="C152" s="525" t="s">
        <v>782</v>
      </c>
      <c r="D152" s="526">
        <v>95.23</v>
      </c>
      <c r="E152" s="527">
        <v>4.4000000000000004</v>
      </c>
      <c r="F152" s="101">
        <f t="shared" si="32"/>
        <v>4.6203927333823377E-2</v>
      </c>
      <c r="G152" s="102">
        <f t="shared" si="33"/>
        <v>2.58E-2</v>
      </c>
      <c r="H152" s="102" t="str">
        <f t="shared" si="34"/>
        <v>NMF</v>
      </c>
      <c r="I152" s="102">
        <f t="shared" si="35"/>
        <v>3.56E-2</v>
      </c>
      <c r="J152" s="528">
        <v>85.78</v>
      </c>
      <c r="K152" s="529">
        <f t="shared" si="36"/>
        <v>8.1688293999999999</v>
      </c>
      <c r="L152" s="530">
        <f t="shared" si="37"/>
        <v>2.004114188604257E-4</v>
      </c>
      <c r="M152" s="531">
        <f t="shared" si="38"/>
        <v>9.2597946338955486E-6</v>
      </c>
      <c r="N152" s="532">
        <f t="shared" si="39"/>
        <v>8.1688293999999999</v>
      </c>
      <c r="O152" s="533">
        <f t="shared" si="40"/>
        <v>2.4400558938935649E-4</v>
      </c>
      <c r="P152" s="533">
        <f t="shared" si="41"/>
        <v>6.2953442062453975E-6</v>
      </c>
      <c r="Q152" s="532" t="str">
        <f t="shared" si="42"/>
        <v>--</v>
      </c>
      <c r="R152" s="534" t="str">
        <f t="shared" si="43"/>
        <v>--</v>
      </c>
      <c r="S152" s="533" t="str">
        <f t="shared" si="44"/>
        <v>--</v>
      </c>
      <c r="T152" s="532">
        <f t="shared" si="45"/>
        <v>8.1688293999999999</v>
      </c>
      <c r="U152" s="534">
        <f t="shared" si="46"/>
        <v>2.2784259609156011E-4</v>
      </c>
      <c r="V152" s="533">
        <f t="shared" si="47"/>
        <v>8.1111964208595399E-6</v>
      </c>
      <c r="W152" s="533"/>
      <c r="X152" s="535">
        <v>2.58E-2</v>
      </c>
      <c r="Y152" s="535" t="s">
        <v>36</v>
      </c>
      <c r="Z152" s="535">
        <v>3.56E-2</v>
      </c>
    </row>
    <row r="153" spans="1:26" ht="14.5">
      <c r="A153" s="509">
        <v>149</v>
      </c>
      <c r="B153" s="524" t="s">
        <v>783</v>
      </c>
      <c r="C153" s="525" t="s">
        <v>784</v>
      </c>
      <c r="D153" s="526">
        <v>69.83</v>
      </c>
      <c r="E153" s="527">
        <v>0.32</v>
      </c>
      <c r="F153" s="101">
        <f t="shared" si="32"/>
        <v>4.582557639982816E-3</v>
      </c>
      <c r="G153" s="102">
        <f t="shared" si="33"/>
        <v>5.4000000000000006E-2</v>
      </c>
      <c r="H153" s="102">
        <f t="shared" si="34"/>
        <v>0.105</v>
      </c>
      <c r="I153" s="102">
        <f t="shared" si="35"/>
        <v>6.2800000000000009E-2</v>
      </c>
      <c r="J153" s="528">
        <v>339.88200000000001</v>
      </c>
      <c r="K153" s="529">
        <f t="shared" si="36"/>
        <v>23.733960060000001</v>
      </c>
      <c r="L153" s="530">
        <f t="shared" si="37"/>
        <v>5.8228130101496244E-4</v>
      </c>
      <c r="M153" s="531">
        <f t="shared" si="38"/>
        <v>2.6683376245852498E-6</v>
      </c>
      <c r="N153" s="532">
        <f t="shared" si="39"/>
        <v>23.733960060000001</v>
      </c>
      <c r="O153" s="533">
        <f t="shared" si="40"/>
        <v>7.0894110152229972E-4</v>
      </c>
      <c r="P153" s="533">
        <f t="shared" si="41"/>
        <v>3.8282819482204192E-5</v>
      </c>
      <c r="Q153" s="532">
        <f t="shared" si="42"/>
        <v>23.733960060000001</v>
      </c>
      <c r="R153" s="534">
        <f t="shared" si="43"/>
        <v>7.146988037432184E-4</v>
      </c>
      <c r="S153" s="533">
        <f t="shared" si="44"/>
        <v>7.5043374393037927E-5</v>
      </c>
      <c r="T153" s="532">
        <f t="shared" si="45"/>
        <v>23.733960060000001</v>
      </c>
      <c r="U153" s="534">
        <f t="shared" si="46"/>
        <v>6.619806597508084E-4</v>
      </c>
      <c r="V153" s="533">
        <f t="shared" si="47"/>
        <v>4.1572385432350771E-5</v>
      </c>
      <c r="W153" s="533"/>
      <c r="X153" s="535">
        <v>5.4000000000000006E-2</v>
      </c>
      <c r="Y153" s="535">
        <v>0.105</v>
      </c>
      <c r="Z153" s="535">
        <v>6.2800000000000009E-2</v>
      </c>
    </row>
    <row r="154" spans="1:26" ht="14.5">
      <c r="A154" s="509">
        <v>150</v>
      </c>
      <c r="B154" s="524" t="s">
        <v>785</v>
      </c>
      <c r="C154" s="525" t="s">
        <v>786</v>
      </c>
      <c r="D154" s="526">
        <v>271.98</v>
      </c>
      <c r="E154" s="527">
        <v>6</v>
      </c>
      <c r="F154" s="101">
        <f t="shared" si="32"/>
        <v>2.2060445621001543E-2</v>
      </c>
      <c r="G154" s="102">
        <f t="shared" si="33"/>
        <v>0.1152</v>
      </c>
      <c r="H154" s="102">
        <f t="shared" si="34"/>
        <v>9.5000000000000001E-2</v>
      </c>
      <c r="I154" s="102">
        <f t="shared" si="35"/>
        <v>9.9600000000000008E-2</v>
      </c>
      <c r="J154" s="528">
        <v>268.39600000000002</v>
      </c>
      <c r="K154" s="529">
        <f t="shared" si="36"/>
        <v>72.99834408000001</v>
      </c>
      <c r="L154" s="530">
        <f t="shared" si="37"/>
        <v>1.7909177674263047E-3</v>
      </c>
      <c r="M154" s="531">
        <f t="shared" si="38"/>
        <v>3.9508444019993484E-5</v>
      </c>
      <c r="N154" s="532">
        <f t="shared" si="39"/>
        <v>72.99834408000001</v>
      </c>
      <c r="O154" s="533">
        <f t="shared" si="40"/>
        <v>2.180484265185835E-3</v>
      </c>
      <c r="P154" s="533">
        <f t="shared" si="41"/>
        <v>2.5119178734940817E-4</v>
      </c>
      <c r="Q154" s="532">
        <f t="shared" si="42"/>
        <v>72.99834408000001</v>
      </c>
      <c r="R154" s="534">
        <f t="shared" si="43"/>
        <v>2.1981931821457635E-3</v>
      </c>
      <c r="S154" s="533">
        <f t="shared" si="44"/>
        <v>2.0882835230384754E-4</v>
      </c>
      <c r="T154" s="532">
        <f t="shared" si="45"/>
        <v>72.99834408000001</v>
      </c>
      <c r="U154" s="534">
        <f t="shared" si="46"/>
        <v>2.0360484239727384E-3</v>
      </c>
      <c r="V154" s="533">
        <f t="shared" si="47"/>
        <v>2.0279042302768477E-4</v>
      </c>
      <c r="W154" s="533"/>
      <c r="X154" s="535">
        <v>0.1152</v>
      </c>
      <c r="Y154" s="535">
        <v>9.5000000000000001E-2</v>
      </c>
      <c r="Z154" s="535">
        <v>9.9600000000000008E-2</v>
      </c>
    </row>
    <row r="155" spans="1:26" ht="14.5">
      <c r="A155" s="509">
        <v>151</v>
      </c>
      <c r="B155" s="524" t="s">
        <v>1321</v>
      </c>
      <c r="C155" s="525" t="s">
        <v>787</v>
      </c>
      <c r="D155" s="526">
        <v>214.49</v>
      </c>
      <c r="E155" s="527">
        <v>1.44</v>
      </c>
      <c r="F155" s="101">
        <f t="shared" si="32"/>
        <v>6.7135997016177906E-3</v>
      </c>
      <c r="G155" s="102">
        <f t="shared" si="33"/>
        <v>0.18659999999999999</v>
      </c>
      <c r="H155" s="102" t="str">
        <f t="shared" si="34"/>
        <v>NMF</v>
      </c>
      <c r="I155" s="102">
        <f t="shared" si="35"/>
        <v>0.15049999999999999</v>
      </c>
      <c r="J155" s="528">
        <v>1066.3869999999999</v>
      </c>
      <c r="K155" s="529">
        <f t="shared" si="36"/>
        <v>228.72934763000001</v>
      </c>
      <c r="L155" s="530">
        <f t="shared" si="37"/>
        <v>5.6115718481705417E-3</v>
      </c>
      <c r="M155" s="531">
        <f t="shared" si="38"/>
        <v>3.7673847085484544E-5</v>
      </c>
      <c r="N155" s="532">
        <f t="shared" si="39"/>
        <v>228.72934763000001</v>
      </c>
      <c r="O155" s="533">
        <f t="shared" si="40"/>
        <v>6.8322199603166106E-3</v>
      </c>
      <c r="P155" s="533">
        <f t="shared" si="41"/>
        <v>1.2748922445950796E-3</v>
      </c>
      <c r="Q155" s="532" t="str">
        <f t="shared" si="42"/>
        <v>--</v>
      </c>
      <c r="R155" s="534" t="str">
        <f t="shared" si="43"/>
        <v>--</v>
      </c>
      <c r="S155" s="533" t="str">
        <f t="shared" si="44"/>
        <v>--</v>
      </c>
      <c r="T155" s="532">
        <f t="shared" si="45"/>
        <v>228.72934763000001</v>
      </c>
      <c r="U155" s="534">
        <f t="shared" si="46"/>
        <v>6.3796519445427679E-3</v>
      </c>
      <c r="V155" s="533">
        <f t="shared" si="47"/>
        <v>9.6013761765368656E-4</v>
      </c>
      <c r="W155" s="533"/>
      <c r="X155" s="535">
        <v>0.18659999999999999</v>
      </c>
      <c r="Y155" s="535">
        <v>0.20499999999999999</v>
      </c>
      <c r="Z155" s="535">
        <v>0.15049999999999999</v>
      </c>
    </row>
    <row r="156" spans="1:26" ht="14.5">
      <c r="A156" s="509">
        <v>152</v>
      </c>
      <c r="B156" s="524" t="s">
        <v>788</v>
      </c>
      <c r="C156" s="525" t="s">
        <v>789</v>
      </c>
      <c r="D156" s="526">
        <v>70.5</v>
      </c>
      <c r="E156" s="527">
        <v>0.14000000000000001</v>
      </c>
      <c r="F156" s="101">
        <f t="shared" si="32"/>
        <v>1.9858156028368795E-3</v>
      </c>
      <c r="G156" s="102">
        <f t="shared" si="33"/>
        <v>6.0999999999999999E-2</v>
      </c>
      <c r="H156" s="102" t="str">
        <f t="shared" si="34"/>
        <v>NMF</v>
      </c>
      <c r="I156" s="102">
        <f t="shared" si="35"/>
        <v>7.3800000000000004E-2</v>
      </c>
      <c r="J156" s="528">
        <v>457.88499999999999</v>
      </c>
      <c r="K156" s="529">
        <f t="shared" si="36"/>
        <v>32.2808925</v>
      </c>
      <c r="L156" s="530">
        <f t="shared" si="37"/>
        <v>7.9196897758764255E-4</v>
      </c>
      <c r="M156" s="531">
        <f t="shared" si="38"/>
        <v>1.5727043526563115E-6</v>
      </c>
      <c r="N156" s="532">
        <f t="shared" si="39"/>
        <v>32.2808925</v>
      </c>
      <c r="O156" s="533">
        <f t="shared" si="40"/>
        <v>9.6424075161576485E-4</v>
      </c>
      <c r="P156" s="533">
        <f t="shared" si="41"/>
        <v>5.8818685848561658E-5</v>
      </c>
      <c r="Q156" s="532" t="str">
        <f t="shared" si="42"/>
        <v>--</v>
      </c>
      <c r="R156" s="534" t="str">
        <f t="shared" si="43"/>
        <v>--</v>
      </c>
      <c r="S156" s="533" t="str">
        <f t="shared" si="44"/>
        <v>--</v>
      </c>
      <c r="T156" s="532">
        <f t="shared" si="45"/>
        <v>32.2808925</v>
      </c>
      <c r="U156" s="534">
        <f t="shared" si="46"/>
        <v>9.0036919504679245E-4</v>
      </c>
      <c r="V156" s="533">
        <f t="shared" si="47"/>
        <v>6.6447246594453281E-5</v>
      </c>
      <c r="W156" s="533"/>
      <c r="X156" s="535">
        <v>6.0999999999999999E-2</v>
      </c>
      <c r="Y156" s="535" t="s">
        <v>36</v>
      </c>
      <c r="Z156" s="535">
        <v>7.3800000000000004E-2</v>
      </c>
    </row>
    <row r="157" spans="1:26" ht="14.5">
      <c r="A157" s="509">
        <v>153</v>
      </c>
      <c r="B157" s="524" t="s">
        <v>790</v>
      </c>
      <c r="C157" s="525" t="s">
        <v>791</v>
      </c>
      <c r="D157" s="526">
        <v>28.4</v>
      </c>
      <c r="E157" s="527">
        <v>0.57999999999999996</v>
      </c>
      <c r="F157" s="101">
        <f t="shared" si="32"/>
        <v>2.0422535211267606E-2</v>
      </c>
      <c r="G157" s="102">
        <f t="shared" si="33"/>
        <v>0.1235</v>
      </c>
      <c r="H157" s="102">
        <f t="shared" si="34"/>
        <v>7.4999999999999997E-2</v>
      </c>
      <c r="I157" s="102">
        <f t="shared" si="35"/>
        <v>0.11230000000000001</v>
      </c>
      <c r="J157" s="528">
        <v>616.30100000000004</v>
      </c>
      <c r="K157" s="529">
        <f t="shared" si="36"/>
        <v>17.502948400000001</v>
      </c>
      <c r="L157" s="530">
        <f t="shared" si="37"/>
        <v>4.2941167593545511E-4</v>
      </c>
      <c r="M157" s="531">
        <f t="shared" si="38"/>
        <v>8.769675071921266E-6</v>
      </c>
      <c r="N157" s="532">
        <f t="shared" si="39"/>
        <v>17.502948400000001</v>
      </c>
      <c r="O157" s="533">
        <f t="shared" si="40"/>
        <v>5.228187578985912E-4</v>
      </c>
      <c r="P157" s="533">
        <f t="shared" si="41"/>
        <v>6.4568116600476015E-5</v>
      </c>
      <c r="Q157" s="532">
        <f t="shared" si="42"/>
        <v>17.502948400000001</v>
      </c>
      <c r="R157" s="534">
        <f t="shared" si="43"/>
        <v>5.2706485777490942E-4</v>
      </c>
      <c r="S157" s="533">
        <f t="shared" si="44"/>
        <v>3.9529864333118208E-5</v>
      </c>
      <c r="T157" s="532">
        <f t="shared" si="45"/>
        <v>17.502948400000001</v>
      </c>
      <c r="U157" s="534">
        <f t="shared" si="46"/>
        <v>4.881871082670203E-4</v>
      </c>
      <c r="V157" s="533">
        <f t="shared" si="47"/>
        <v>5.4823412258386385E-5</v>
      </c>
      <c r="W157" s="533"/>
      <c r="X157" s="535">
        <v>0.1235</v>
      </c>
      <c r="Y157" s="535">
        <v>7.4999999999999997E-2</v>
      </c>
      <c r="Z157" s="535">
        <v>0.11230000000000001</v>
      </c>
    </row>
    <row r="158" spans="1:26" ht="14.5">
      <c r="A158" s="509">
        <v>154</v>
      </c>
      <c r="B158" s="524" t="s">
        <v>1322</v>
      </c>
      <c r="C158" s="525" t="s">
        <v>1323</v>
      </c>
      <c r="D158" s="526">
        <v>394</v>
      </c>
      <c r="E158" s="527">
        <v>1</v>
      </c>
      <c r="F158" s="101">
        <f t="shared" si="32"/>
        <v>2.5380710659898475E-3</v>
      </c>
      <c r="G158" s="102" t="str">
        <f t="shared" si="33"/>
        <v>NMF</v>
      </c>
      <c r="H158" s="102" t="str">
        <f t="shared" si="34"/>
        <v>NMF</v>
      </c>
      <c r="I158" s="102">
        <f t="shared" si="35"/>
        <v>0.18</v>
      </c>
      <c r="J158" s="528">
        <v>272.935</v>
      </c>
      <c r="K158" s="529">
        <f t="shared" si="36"/>
        <v>107.53639</v>
      </c>
      <c r="L158" s="530">
        <f t="shared" si="37"/>
        <v>2.638263017101091E-3</v>
      </c>
      <c r="M158" s="531">
        <f t="shared" si="38"/>
        <v>6.6960990281753574E-6</v>
      </c>
      <c r="N158" s="532" t="str">
        <f t="shared" si="39"/>
        <v>--</v>
      </c>
      <c r="O158" s="533" t="str">
        <f t="shared" si="40"/>
        <v>--</v>
      </c>
      <c r="P158" s="533" t="str">
        <f t="shared" si="41"/>
        <v>--</v>
      </c>
      <c r="Q158" s="532" t="str">
        <f t="shared" si="42"/>
        <v>--</v>
      </c>
      <c r="R158" s="534" t="str">
        <f t="shared" si="43"/>
        <v>--</v>
      </c>
      <c r="S158" s="533" t="str">
        <f t="shared" si="44"/>
        <v>--</v>
      </c>
      <c r="T158" s="532">
        <f t="shared" si="45"/>
        <v>107.53639</v>
      </c>
      <c r="U158" s="534">
        <f t="shared" si="46"/>
        <v>2.9993734808459196E-3</v>
      </c>
      <c r="V158" s="533">
        <f t="shared" si="47"/>
        <v>5.3988722655226552E-4</v>
      </c>
      <c r="W158" s="533"/>
      <c r="X158" s="535" t="s">
        <v>36</v>
      </c>
      <c r="Y158" s="535" t="s">
        <v>36</v>
      </c>
      <c r="Z158" s="535">
        <v>0.18</v>
      </c>
    </row>
    <row r="159" spans="1:26" ht="14.5">
      <c r="A159" s="509">
        <v>155</v>
      </c>
      <c r="B159" s="524" t="s">
        <v>792</v>
      </c>
      <c r="C159" s="525" t="s">
        <v>387</v>
      </c>
      <c r="D159" s="526">
        <v>98.16</v>
      </c>
      <c r="E159" s="527">
        <v>3.16</v>
      </c>
      <c r="F159" s="101">
        <f t="shared" si="32"/>
        <v>3.2192339038304811E-2</v>
      </c>
      <c r="G159" s="102" t="str">
        <f t="shared" si="33"/>
        <v>NMF</v>
      </c>
      <c r="H159" s="102">
        <f t="shared" si="34"/>
        <v>6.5000000000000002E-2</v>
      </c>
      <c r="I159" s="102">
        <f t="shared" si="35"/>
        <v>0.19489999999999999</v>
      </c>
      <c r="J159" s="528">
        <v>1245</v>
      </c>
      <c r="K159" s="529">
        <f t="shared" si="36"/>
        <v>122.2092</v>
      </c>
      <c r="L159" s="530">
        <f t="shared" si="37"/>
        <v>2.9982409927421837E-3</v>
      </c>
      <c r="M159" s="531">
        <f t="shared" si="38"/>
        <v>9.6520390556899976E-5</v>
      </c>
      <c r="N159" s="532" t="str">
        <f t="shared" si="39"/>
        <v>--</v>
      </c>
      <c r="O159" s="533" t="str">
        <f t="shared" si="40"/>
        <v>--</v>
      </c>
      <c r="P159" s="533" t="str">
        <f t="shared" si="41"/>
        <v>--</v>
      </c>
      <c r="Q159" s="532">
        <f t="shared" si="42"/>
        <v>122.2092</v>
      </c>
      <c r="R159" s="534">
        <f t="shared" si="43"/>
        <v>3.6800756732383129E-3</v>
      </c>
      <c r="S159" s="533">
        <f t="shared" si="44"/>
        <v>2.3920491876049034E-4</v>
      </c>
      <c r="T159" s="532">
        <f t="shared" si="45"/>
        <v>122.2092</v>
      </c>
      <c r="U159" s="534">
        <f t="shared" si="46"/>
        <v>3.4086231981136353E-3</v>
      </c>
      <c r="V159" s="533">
        <f t="shared" si="47"/>
        <v>6.6434066131234747E-4</v>
      </c>
      <c r="W159" s="533"/>
      <c r="X159" s="535">
        <v>0.28339999999999999</v>
      </c>
      <c r="Y159" s="535">
        <v>6.5000000000000002E-2</v>
      </c>
      <c r="Z159" s="535">
        <v>0.19489999999999999</v>
      </c>
    </row>
    <row r="160" spans="1:26" ht="14.5">
      <c r="A160" s="509">
        <v>156</v>
      </c>
      <c r="B160" s="524" t="s">
        <v>793</v>
      </c>
      <c r="C160" s="525" t="s">
        <v>385</v>
      </c>
      <c r="D160" s="526">
        <v>54.71</v>
      </c>
      <c r="E160" s="527">
        <v>2.4300000000000002</v>
      </c>
      <c r="F160" s="101">
        <f t="shared" si="32"/>
        <v>4.4416011698044239E-2</v>
      </c>
      <c r="G160" s="102" t="str">
        <f t="shared" si="33"/>
        <v>NMF</v>
      </c>
      <c r="H160" s="102">
        <f t="shared" si="34"/>
        <v>0.03</v>
      </c>
      <c r="I160" s="102">
        <f t="shared" si="35"/>
        <v>0.10859999999999999</v>
      </c>
      <c r="J160" s="528">
        <v>547.601</v>
      </c>
      <c r="K160" s="529">
        <f t="shared" si="36"/>
        <v>29.959250709999999</v>
      </c>
      <c r="L160" s="530">
        <f t="shared" si="37"/>
        <v>7.3501056868519206E-4</v>
      </c>
      <c r="M160" s="531">
        <f t="shared" si="38"/>
        <v>3.2646238016907641E-5</v>
      </c>
      <c r="N160" s="532" t="str">
        <f t="shared" si="39"/>
        <v>--</v>
      </c>
      <c r="O160" s="533" t="str">
        <f t="shared" si="40"/>
        <v>--</v>
      </c>
      <c r="P160" s="533" t="str">
        <f t="shared" si="41"/>
        <v>--</v>
      </c>
      <c r="Q160" s="532">
        <f t="shared" si="42"/>
        <v>29.959250709999999</v>
      </c>
      <c r="R160" s="534">
        <f t="shared" si="43"/>
        <v>9.021604734039553E-4</v>
      </c>
      <c r="S160" s="533">
        <f t="shared" si="44"/>
        <v>2.7064814202118657E-5</v>
      </c>
      <c r="T160" s="532">
        <f t="shared" si="45"/>
        <v>29.959250709999999</v>
      </c>
      <c r="U160" s="534">
        <f t="shared" si="46"/>
        <v>8.3561464249997872E-4</v>
      </c>
      <c r="V160" s="533">
        <f t="shared" si="47"/>
        <v>9.074775017549768E-5</v>
      </c>
      <c r="W160" s="533"/>
      <c r="X160" s="535">
        <v>-1.83E-2</v>
      </c>
      <c r="Y160" s="535">
        <v>0.03</v>
      </c>
      <c r="Z160" s="535">
        <v>0.10859999999999999</v>
      </c>
    </row>
    <row r="161" spans="1:26" ht="14.5">
      <c r="A161" s="509">
        <v>157</v>
      </c>
      <c r="B161" s="524" t="s">
        <v>794</v>
      </c>
      <c r="C161" s="525" t="s">
        <v>795</v>
      </c>
      <c r="D161" s="526">
        <v>121.23</v>
      </c>
      <c r="E161" s="527">
        <v>1.08</v>
      </c>
      <c r="F161" s="101">
        <f t="shared" si="32"/>
        <v>8.9086859688195987E-3</v>
      </c>
      <c r="G161" s="102" t="str">
        <f t="shared" si="33"/>
        <v>NMF</v>
      </c>
      <c r="H161" s="102">
        <f t="shared" si="34"/>
        <v>0.09</v>
      </c>
      <c r="I161" s="102" t="str">
        <f t="shared" si="35"/>
        <v>NMF</v>
      </c>
      <c r="J161" s="528">
        <v>83.242999999999995</v>
      </c>
      <c r="K161" s="529">
        <f t="shared" si="36"/>
        <v>10.09154889</v>
      </c>
      <c r="L161" s="530">
        <f t="shared" si="37"/>
        <v>2.47582797058322E-4</v>
      </c>
      <c r="M161" s="531">
        <f t="shared" si="38"/>
        <v>2.2056373902745835E-6</v>
      </c>
      <c r="N161" s="532" t="str">
        <f t="shared" si="39"/>
        <v>--</v>
      </c>
      <c r="O161" s="533" t="str">
        <f t="shared" si="40"/>
        <v>--</v>
      </c>
      <c r="P161" s="533" t="str">
        <f t="shared" si="41"/>
        <v>--</v>
      </c>
      <c r="Q161" s="532">
        <f t="shared" si="42"/>
        <v>10.09154889</v>
      </c>
      <c r="R161" s="534">
        <f t="shared" si="43"/>
        <v>3.0388598874212495E-4</v>
      </c>
      <c r="S161" s="533">
        <f t="shared" si="44"/>
        <v>2.7349738986791246E-5</v>
      </c>
      <c r="T161" s="532" t="str">
        <f t="shared" si="45"/>
        <v>--</v>
      </c>
      <c r="U161" s="534" t="str">
        <f t="shared" si="46"/>
        <v>--</v>
      </c>
      <c r="V161" s="533" t="str">
        <f t="shared" si="47"/>
        <v>--</v>
      </c>
      <c r="W161" s="533"/>
      <c r="X161" s="535" t="s">
        <v>36</v>
      </c>
      <c r="Y161" s="535">
        <v>0.09</v>
      </c>
      <c r="Z161" s="535" t="s">
        <v>36</v>
      </c>
    </row>
    <row r="162" spans="1:26" ht="14.5">
      <c r="A162" s="509">
        <v>158</v>
      </c>
      <c r="B162" s="524" t="s">
        <v>796</v>
      </c>
      <c r="C162" s="525" t="s">
        <v>797</v>
      </c>
      <c r="D162" s="526">
        <v>45.05</v>
      </c>
      <c r="E162" s="527">
        <v>1.24</v>
      </c>
      <c r="F162" s="101">
        <f t="shared" si="32"/>
        <v>2.7524972253052164E-2</v>
      </c>
      <c r="G162" s="102">
        <f t="shared" si="33"/>
        <v>0.15046999999999999</v>
      </c>
      <c r="H162" s="102" t="str">
        <f t="shared" si="34"/>
        <v>NMF</v>
      </c>
      <c r="I162" s="102">
        <f t="shared" si="35"/>
        <v>0.15810000000000002</v>
      </c>
      <c r="J162" s="528">
        <v>856.471</v>
      </c>
      <c r="K162" s="529">
        <f t="shared" si="36"/>
        <v>38.584018550000003</v>
      </c>
      <c r="L162" s="530">
        <f t="shared" si="37"/>
        <v>9.4660783379103082E-4</v>
      </c>
      <c r="M162" s="531">
        <f t="shared" si="38"/>
        <v>2.6055354359619939E-5</v>
      </c>
      <c r="N162" s="532">
        <f t="shared" si="39"/>
        <v>38.584018550000003</v>
      </c>
      <c r="O162" s="533">
        <f t="shared" si="40"/>
        <v>1.1525171755089676E-3</v>
      </c>
      <c r="P162" s="533">
        <f t="shared" si="41"/>
        <v>1.7341925939883435E-4</v>
      </c>
      <c r="Q162" s="532" t="str">
        <f t="shared" si="42"/>
        <v>--</v>
      </c>
      <c r="R162" s="534" t="str">
        <f t="shared" si="43"/>
        <v>--</v>
      </c>
      <c r="S162" s="533" t="str">
        <f t="shared" si="44"/>
        <v>--</v>
      </c>
      <c r="T162" s="532">
        <f t="shared" si="45"/>
        <v>38.584018550000003</v>
      </c>
      <c r="U162" s="534">
        <f t="shared" si="46"/>
        <v>1.0761741399663597E-3</v>
      </c>
      <c r="V162" s="533">
        <f t="shared" si="47"/>
        <v>1.7014313152868149E-4</v>
      </c>
      <c r="W162" s="533"/>
      <c r="X162" s="535">
        <v>0.15046999999999999</v>
      </c>
      <c r="Y162" s="535">
        <v>0.23</v>
      </c>
      <c r="Z162" s="535">
        <v>0.15810000000000002</v>
      </c>
    </row>
    <row r="163" spans="1:26" ht="14.5">
      <c r="A163" s="509">
        <v>159</v>
      </c>
      <c r="B163" s="524" t="s">
        <v>798</v>
      </c>
      <c r="C163" s="525" t="s">
        <v>799</v>
      </c>
      <c r="D163" s="526">
        <v>47.35</v>
      </c>
      <c r="E163" s="527">
        <v>0.48</v>
      </c>
      <c r="F163" s="101">
        <f t="shared" si="32"/>
        <v>1.0137275607180569E-2</v>
      </c>
      <c r="G163" s="102">
        <f t="shared" si="33"/>
        <v>4.6500000000000007E-2</v>
      </c>
      <c r="H163" s="102">
        <f t="shared" si="34"/>
        <v>9.5000000000000001E-2</v>
      </c>
      <c r="I163" s="102">
        <f t="shared" si="35"/>
        <v>0.04</v>
      </c>
      <c r="J163" s="528">
        <v>966.28</v>
      </c>
      <c r="K163" s="529">
        <f t="shared" si="36"/>
        <v>45.753357999999999</v>
      </c>
      <c r="L163" s="530">
        <f t="shared" si="37"/>
        <v>1.1224980894335985E-3</v>
      </c>
      <c r="M163" s="531">
        <f t="shared" si="38"/>
        <v>1.1379072501122011E-5</v>
      </c>
      <c r="N163" s="532">
        <f t="shared" si="39"/>
        <v>45.753357999999999</v>
      </c>
      <c r="O163" s="533">
        <f t="shared" si="40"/>
        <v>1.3666676752157694E-3</v>
      </c>
      <c r="P163" s="533">
        <f t="shared" si="41"/>
        <v>6.3550046897533288E-5</v>
      </c>
      <c r="Q163" s="532">
        <f t="shared" si="42"/>
        <v>45.753357999999999</v>
      </c>
      <c r="R163" s="534">
        <f t="shared" si="43"/>
        <v>1.3777671381922437E-3</v>
      </c>
      <c r="S163" s="533">
        <f t="shared" si="44"/>
        <v>1.3088787812826316E-4</v>
      </c>
      <c r="T163" s="532">
        <f t="shared" si="45"/>
        <v>45.753357999999999</v>
      </c>
      <c r="U163" s="534">
        <f t="shared" si="46"/>
        <v>1.2761392552311779E-3</v>
      </c>
      <c r="V163" s="533">
        <f t="shared" si="47"/>
        <v>5.1045570209247119E-5</v>
      </c>
      <c r="W163" s="533"/>
      <c r="X163" s="535">
        <v>4.6500000000000007E-2</v>
      </c>
      <c r="Y163" s="535">
        <v>9.5000000000000001E-2</v>
      </c>
      <c r="Z163" s="535">
        <v>0.04</v>
      </c>
    </row>
    <row r="164" spans="1:26" ht="14.5">
      <c r="A164" s="509">
        <v>160</v>
      </c>
      <c r="B164" s="524" t="s">
        <v>1324</v>
      </c>
      <c r="C164" s="525" t="s">
        <v>1325</v>
      </c>
      <c r="D164" s="526">
        <v>155.75</v>
      </c>
      <c r="E164" s="527">
        <v>0.88</v>
      </c>
      <c r="F164" s="101">
        <f t="shared" si="32"/>
        <v>5.6500802568218295E-3</v>
      </c>
      <c r="G164" s="102">
        <f t="shared" si="33"/>
        <v>0.18462000000000001</v>
      </c>
      <c r="H164" s="102">
        <f t="shared" si="34"/>
        <v>0.125</v>
      </c>
      <c r="I164" s="102">
        <f t="shared" si="35"/>
        <v>0.1399</v>
      </c>
      <c r="J164" s="528">
        <v>5459</v>
      </c>
      <c r="K164" s="529">
        <f t="shared" si="36"/>
        <v>850.23924999999997</v>
      </c>
      <c r="L164" s="530">
        <f t="shared" si="37"/>
        <v>2.0859494808806292E-2</v>
      </c>
      <c r="M164" s="531">
        <f t="shared" si="38"/>
        <v>1.1785781978651387E-4</v>
      </c>
      <c r="N164" s="532">
        <f t="shared" si="39"/>
        <v>850.23924999999997</v>
      </c>
      <c r="O164" s="533">
        <f t="shared" si="40"/>
        <v>2.5396922760832098E-2</v>
      </c>
      <c r="P164" s="533">
        <f t="shared" si="41"/>
        <v>4.688779880104822E-3</v>
      </c>
      <c r="Q164" s="532">
        <f t="shared" si="42"/>
        <v>850.23924999999997</v>
      </c>
      <c r="R164" s="534">
        <f t="shared" si="43"/>
        <v>2.5603185196837783E-2</v>
      </c>
      <c r="S164" s="533">
        <f t="shared" si="44"/>
        <v>3.2003981496047228E-3</v>
      </c>
      <c r="T164" s="532">
        <f t="shared" si="45"/>
        <v>850.23924999999997</v>
      </c>
      <c r="U164" s="534">
        <f t="shared" si="46"/>
        <v>2.3714624034006756E-2</v>
      </c>
      <c r="V164" s="533">
        <f t="shared" si="47"/>
        <v>3.317675902357545E-3</v>
      </c>
      <c r="W164" s="533"/>
      <c r="X164" s="535">
        <v>0.18462000000000001</v>
      </c>
      <c r="Y164" s="535">
        <v>0.125</v>
      </c>
      <c r="Z164" s="535">
        <v>0.1399</v>
      </c>
    </row>
    <row r="165" spans="1:26" ht="14.5">
      <c r="A165" s="509">
        <v>161</v>
      </c>
      <c r="B165" s="524" t="s">
        <v>800</v>
      </c>
      <c r="C165" s="525" t="s">
        <v>801</v>
      </c>
      <c r="D165" s="526">
        <v>117.58</v>
      </c>
      <c r="E165" s="527">
        <v>4.2</v>
      </c>
      <c r="F165" s="101">
        <f t="shared" si="32"/>
        <v>3.5720360605545162E-2</v>
      </c>
      <c r="G165" s="102" t="str">
        <f t="shared" si="33"/>
        <v>NMF</v>
      </c>
      <c r="H165" s="102">
        <f t="shared" si="34"/>
        <v>0.02</v>
      </c>
      <c r="I165" s="102" t="str">
        <f t="shared" si="35"/>
        <v>NMF</v>
      </c>
      <c r="J165" s="528">
        <v>138.79</v>
      </c>
      <c r="K165" s="529">
        <f t="shared" si="36"/>
        <v>16.318928199999998</v>
      </c>
      <c r="L165" s="530">
        <f t="shared" si="37"/>
        <v>4.0036330723755998E-4</v>
      </c>
      <c r="M165" s="531">
        <f t="shared" si="38"/>
        <v>1.4301121707754312E-5</v>
      </c>
      <c r="N165" s="532" t="str">
        <f t="shared" si="39"/>
        <v>--</v>
      </c>
      <c r="O165" s="533" t="str">
        <f t="shared" si="40"/>
        <v>--</v>
      </c>
      <c r="P165" s="533" t="str">
        <f t="shared" si="41"/>
        <v>--</v>
      </c>
      <c r="Q165" s="532">
        <f t="shared" si="42"/>
        <v>16.318928199999998</v>
      </c>
      <c r="R165" s="534">
        <f t="shared" si="43"/>
        <v>4.9141055405110812E-4</v>
      </c>
      <c r="S165" s="533">
        <f t="shared" si="44"/>
        <v>9.8282110810221627E-6</v>
      </c>
      <c r="T165" s="532" t="str">
        <f t="shared" si="45"/>
        <v>--</v>
      </c>
      <c r="U165" s="534" t="str">
        <f t="shared" si="46"/>
        <v>--</v>
      </c>
      <c r="V165" s="533" t="str">
        <f t="shared" si="47"/>
        <v>--</v>
      </c>
      <c r="W165" s="533"/>
      <c r="X165" s="535" t="s">
        <v>36</v>
      </c>
      <c r="Y165" s="535">
        <v>0.02</v>
      </c>
      <c r="Z165" s="535" t="s">
        <v>36</v>
      </c>
    </row>
    <row r="166" spans="1:26" ht="14.5">
      <c r="A166" s="509">
        <v>162</v>
      </c>
      <c r="B166" s="524" t="s">
        <v>1326</v>
      </c>
      <c r="C166" s="525" t="s">
        <v>802</v>
      </c>
      <c r="D166" s="526">
        <v>79.569999999999993</v>
      </c>
      <c r="E166" s="527">
        <v>1.03</v>
      </c>
      <c r="F166" s="101">
        <f t="shared" si="32"/>
        <v>1.2944577101922837E-2</v>
      </c>
      <c r="G166" s="102">
        <f t="shared" si="33"/>
        <v>9.6780000000000005E-2</v>
      </c>
      <c r="H166" s="102">
        <f t="shared" si="34"/>
        <v>0.11</v>
      </c>
      <c r="I166" s="102">
        <f t="shared" si="35"/>
        <v>0.10050000000000001</v>
      </c>
      <c r="J166" s="528">
        <v>243.88</v>
      </c>
      <c r="K166" s="529">
        <f t="shared" si="36"/>
        <v>19.4055316</v>
      </c>
      <c r="L166" s="530">
        <f t="shared" si="37"/>
        <v>4.7608903690617252E-4</v>
      </c>
      <c r="M166" s="531">
        <f t="shared" si="38"/>
        <v>6.1627712456121375E-6</v>
      </c>
      <c r="N166" s="532">
        <f t="shared" si="39"/>
        <v>19.4055316</v>
      </c>
      <c r="O166" s="533">
        <f t="shared" si="40"/>
        <v>5.7964953650173942E-4</v>
      </c>
      <c r="P166" s="533">
        <f t="shared" si="41"/>
        <v>5.6098482142638345E-5</v>
      </c>
      <c r="Q166" s="532">
        <f t="shared" si="42"/>
        <v>19.4055316</v>
      </c>
      <c r="R166" s="534">
        <f t="shared" si="43"/>
        <v>5.8435719051771356E-4</v>
      </c>
      <c r="S166" s="533">
        <f t="shared" si="44"/>
        <v>6.4279290956948488E-5</v>
      </c>
      <c r="T166" s="532">
        <f t="shared" si="45"/>
        <v>19.4055316</v>
      </c>
      <c r="U166" s="534">
        <f t="shared" si="46"/>
        <v>5.4125340140911819E-4</v>
      </c>
      <c r="V166" s="533">
        <f t="shared" si="47"/>
        <v>5.4395966841616381E-5</v>
      </c>
      <c r="W166" s="533"/>
      <c r="X166" s="535">
        <v>9.6780000000000005E-2</v>
      </c>
      <c r="Y166" s="535">
        <v>0.11</v>
      </c>
      <c r="Z166" s="535">
        <v>0.10050000000000001</v>
      </c>
    </row>
    <row r="167" spans="1:26" ht="14.5">
      <c r="A167" s="509">
        <v>163</v>
      </c>
      <c r="B167" s="524" t="s">
        <v>803</v>
      </c>
      <c r="C167" s="525" t="s">
        <v>804</v>
      </c>
      <c r="D167" s="526">
        <v>190.41</v>
      </c>
      <c r="E167" s="527">
        <v>3.6</v>
      </c>
      <c r="F167" s="101">
        <f t="shared" si="32"/>
        <v>1.89065700330865E-2</v>
      </c>
      <c r="G167" s="102">
        <f t="shared" si="33"/>
        <v>0.113</v>
      </c>
      <c r="H167" s="102">
        <f t="shared" si="34"/>
        <v>7.0000000000000007E-2</v>
      </c>
      <c r="I167" s="102">
        <f t="shared" si="35"/>
        <v>0.1134</v>
      </c>
      <c r="J167" s="528">
        <v>192.541</v>
      </c>
      <c r="K167" s="529">
        <f t="shared" si="36"/>
        <v>36.661731809999999</v>
      </c>
      <c r="L167" s="530">
        <f t="shared" si="37"/>
        <v>8.9944707254169167E-4</v>
      </c>
      <c r="M167" s="531">
        <f t="shared" si="38"/>
        <v>1.7005459068064128E-5</v>
      </c>
      <c r="N167" s="532">
        <f t="shared" si="39"/>
        <v>36.661731809999999</v>
      </c>
      <c r="O167" s="533">
        <f t="shared" si="40"/>
        <v>1.0950978457615443E-3</v>
      </c>
      <c r="P167" s="533">
        <f t="shared" si="41"/>
        <v>1.237460565710545E-4</v>
      </c>
      <c r="Q167" s="532">
        <f t="shared" si="42"/>
        <v>36.661731809999999</v>
      </c>
      <c r="R167" s="534">
        <f t="shared" si="43"/>
        <v>1.1039917401698745E-3</v>
      </c>
      <c r="S167" s="533">
        <f t="shared" si="44"/>
        <v>7.7279421811891219E-5</v>
      </c>
      <c r="T167" s="532">
        <f t="shared" si="45"/>
        <v>36.661731809999999</v>
      </c>
      <c r="U167" s="534">
        <f t="shared" si="46"/>
        <v>1.0225582814598786E-3</v>
      </c>
      <c r="V167" s="533">
        <f t="shared" si="47"/>
        <v>1.1595810911755024E-4</v>
      </c>
      <c r="W167" s="533"/>
      <c r="X167" s="535">
        <v>0.113</v>
      </c>
      <c r="Y167" s="535">
        <v>7.0000000000000007E-2</v>
      </c>
      <c r="Z167" s="535">
        <v>0.1134</v>
      </c>
    </row>
    <row r="168" spans="1:26" ht="14.5">
      <c r="A168" s="509">
        <v>164</v>
      </c>
      <c r="B168" s="524" t="s">
        <v>805</v>
      </c>
      <c r="C168" s="525" t="s">
        <v>806</v>
      </c>
      <c r="D168" s="526">
        <v>565.70000000000005</v>
      </c>
      <c r="E168" s="527">
        <v>12</v>
      </c>
      <c r="F168" s="101">
        <f t="shared" si="32"/>
        <v>2.1212656885274878E-2</v>
      </c>
      <c r="G168" s="102" t="str">
        <f t="shared" si="33"/>
        <v>NMF</v>
      </c>
      <c r="H168" s="102">
        <f t="shared" si="34"/>
        <v>0.115</v>
      </c>
      <c r="I168" s="102">
        <f t="shared" si="35"/>
        <v>0.1661</v>
      </c>
      <c r="J168" s="528">
        <v>306.84100000000001</v>
      </c>
      <c r="K168" s="529">
        <f t="shared" si="36"/>
        <v>173.5799537</v>
      </c>
      <c r="L168" s="530">
        <f t="shared" si="37"/>
        <v>4.2585544517240136E-3</v>
      </c>
      <c r="M168" s="531">
        <f t="shared" si="38"/>
        <v>9.0335254411681373E-5</v>
      </c>
      <c r="N168" s="532" t="str">
        <f t="shared" si="39"/>
        <v>--</v>
      </c>
      <c r="O168" s="533" t="str">
        <f t="shared" si="40"/>
        <v>--</v>
      </c>
      <c r="P168" s="533" t="str">
        <f t="shared" si="41"/>
        <v>--</v>
      </c>
      <c r="Q168" s="532">
        <f t="shared" si="42"/>
        <v>173.5799537</v>
      </c>
      <c r="R168" s="534">
        <f t="shared" si="43"/>
        <v>5.2269989900367783E-3</v>
      </c>
      <c r="S168" s="533">
        <f t="shared" si="44"/>
        <v>6.0110488385422948E-4</v>
      </c>
      <c r="T168" s="532">
        <f t="shared" si="45"/>
        <v>173.5799537</v>
      </c>
      <c r="U168" s="534">
        <f t="shared" si="46"/>
        <v>4.8414412082667321E-3</v>
      </c>
      <c r="V168" s="533">
        <f t="shared" si="47"/>
        <v>8.0416338469310419E-4</v>
      </c>
      <c r="W168" s="533"/>
      <c r="X168" s="535">
        <v>0.2064</v>
      </c>
      <c r="Y168" s="535">
        <v>0.115</v>
      </c>
      <c r="Z168" s="535">
        <v>0.1661</v>
      </c>
    </row>
    <row r="169" spans="1:26" ht="14.5">
      <c r="A169" s="509">
        <v>165</v>
      </c>
      <c r="B169" s="524" t="s">
        <v>807</v>
      </c>
      <c r="C169" s="525" t="s">
        <v>808</v>
      </c>
      <c r="D169" s="526">
        <v>1045.8900000000001</v>
      </c>
      <c r="E169" s="527">
        <v>8.25</v>
      </c>
      <c r="F169" s="101">
        <f t="shared" si="32"/>
        <v>7.8880188165103404E-3</v>
      </c>
      <c r="G169" s="102">
        <f t="shared" si="33"/>
        <v>5.9000000000000004E-2</v>
      </c>
      <c r="H169" s="102">
        <f t="shared" si="34"/>
        <v>0.05</v>
      </c>
      <c r="I169" s="102">
        <f t="shared" si="35"/>
        <v>9.4399999999999998E-2</v>
      </c>
      <c r="J169" s="528">
        <v>48.039000000000001</v>
      </c>
      <c r="K169" s="529">
        <f t="shared" si="36"/>
        <v>50.243509710000005</v>
      </c>
      <c r="L169" s="530">
        <f t="shared" si="37"/>
        <v>1.2326580194597621E-3</v>
      </c>
      <c r="M169" s="531">
        <f t="shared" si="38"/>
        <v>9.7232296518209736E-6</v>
      </c>
      <c r="N169" s="532">
        <f t="shared" si="39"/>
        <v>50.243509710000005</v>
      </c>
      <c r="O169" s="533">
        <f t="shared" si="40"/>
        <v>1.5007899662806529E-3</v>
      </c>
      <c r="P169" s="533">
        <f t="shared" si="41"/>
        <v>8.8546608010558529E-5</v>
      </c>
      <c r="Q169" s="532">
        <f t="shared" si="42"/>
        <v>50.243509710000005</v>
      </c>
      <c r="R169" s="534">
        <f t="shared" si="43"/>
        <v>1.5129787104562011E-3</v>
      </c>
      <c r="S169" s="533">
        <f t="shared" si="44"/>
        <v>7.5648935522810062E-5</v>
      </c>
      <c r="T169" s="532">
        <f t="shared" si="45"/>
        <v>50.243509710000005</v>
      </c>
      <c r="U169" s="534">
        <f t="shared" si="46"/>
        <v>1.401377251075645E-3</v>
      </c>
      <c r="V169" s="533">
        <f t="shared" si="47"/>
        <v>1.3229001250154087E-4</v>
      </c>
      <c r="W169" s="533"/>
      <c r="X169" s="535">
        <v>5.9000000000000004E-2</v>
      </c>
      <c r="Y169" s="535">
        <v>0.05</v>
      </c>
      <c r="Z169" s="535">
        <v>9.4399999999999998E-2</v>
      </c>
    </row>
    <row r="170" spans="1:26" ht="14.5">
      <c r="A170" s="509">
        <v>166</v>
      </c>
      <c r="B170" s="524" t="s">
        <v>809</v>
      </c>
      <c r="C170" s="525" t="s">
        <v>810</v>
      </c>
      <c r="D170" s="526">
        <v>20.239999999999998</v>
      </c>
      <c r="E170" s="527">
        <v>0.7</v>
      </c>
      <c r="F170" s="101">
        <f t="shared" si="32"/>
        <v>3.4584980237154152E-2</v>
      </c>
      <c r="G170" s="102" t="str">
        <f t="shared" si="33"/>
        <v>NMF</v>
      </c>
      <c r="H170" s="102">
        <f t="shared" si="34"/>
        <v>9.5000000000000001E-2</v>
      </c>
      <c r="I170" s="102">
        <f t="shared" si="35"/>
        <v>2.7000000000000003E-2</v>
      </c>
      <c r="J170" s="528">
        <v>859.71500000000003</v>
      </c>
      <c r="K170" s="529">
        <f t="shared" si="36"/>
        <v>17.400631600000001</v>
      </c>
      <c r="L170" s="530">
        <f t="shared" si="37"/>
        <v>4.26901468651501E-4</v>
      </c>
      <c r="M170" s="531">
        <f t="shared" si="38"/>
        <v>1.4764378856524245E-5</v>
      </c>
      <c r="N170" s="532" t="str">
        <f t="shared" si="39"/>
        <v>--</v>
      </c>
      <c r="O170" s="533" t="str">
        <f t="shared" si="40"/>
        <v>--</v>
      </c>
      <c r="P170" s="533" t="str">
        <f t="shared" si="41"/>
        <v>--</v>
      </c>
      <c r="Q170" s="532">
        <f t="shared" si="42"/>
        <v>17.400631600000001</v>
      </c>
      <c r="R170" s="534">
        <f t="shared" si="43"/>
        <v>5.2398380032061306E-4</v>
      </c>
      <c r="S170" s="533">
        <f t="shared" si="44"/>
        <v>4.9778461030458239E-5</v>
      </c>
      <c r="T170" s="532">
        <f t="shared" si="45"/>
        <v>17.400631600000001</v>
      </c>
      <c r="U170" s="534">
        <f t="shared" si="46"/>
        <v>4.8533331806107217E-4</v>
      </c>
      <c r="V170" s="533">
        <f t="shared" si="47"/>
        <v>1.3103999587648951E-5</v>
      </c>
      <c r="W170" s="533"/>
      <c r="X170" s="535">
        <v>-6.9999999999999993E-3</v>
      </c>
      <c r="Y170" s="535">
        <v>9.5000000000000001E-2</v>
      </c>
      <c r="Z170" s="535">
        <v>2.7000000000000003E-2</v>
      </c>
    </row>
    <row r="171" spans="1:26" ht="14.5">
      <c r="A171" s="509">
        <v>167</v>
      </c>
      <c r="B171" s="524" t="s">
        <v>811</v>
      </c>
      <c r="C171" s="525" t="s">
        <v>812</v>
      </c>
      <c r="D171" s="526">
        <v>61.78</v>
      </c>
      <c r="E171" s="527">
        <v>2.8</v>
      </c>
      <c r="F171" s="101">
        <f t="shared" si="32"/>
        <v>4.5322110715441885E-2</v>
      </c>
      <c r="G171" s="102" t="str">
        <f t="shared" si="33"/>
        <v>NMF</v>
      </c>
      <c r="H171" s="102">
        <f t="shared" si="34"/>
        <v>0.11</v>
      </c>
      <c r="I171" s="102">
        <f t="shared" si="35"/>
        <v>8.5900000000000004E-2</v>
      </c>
      <c r="J171" s="528">
        <v>140.12899999999999</v>
      </c>
      <c r="K171" s="529">
        <f t="shared" si="36"/>
        <v>8.6571696199999995</v>
      </c>
      <c r="L171" s="530">
        <f t="shared" si="37"/>
        <v>2.1239219989825867E-4</v>
      </c>
      <c r="M171" s="531">
        <f t="shared" si="38"/>
        <v>9.6260627988851435E-6</v>
      </c>
      <c r="N171" s="532" t="str">
        <f t="shared" si="39"/>
        <v>--</v>
      </c>
      <c r="O171" s="533" t="str">
        <f t="shared" si="40"/>
        <v>--</v>
      </c>
      <c r="P171" s="533" t="str">
        <f t="shared" si="41"/>
        <v>--</v>
      </c>
      <c r="Q171" s="532">
        <f t="shared" si="42"/>
        <v>8.6571696199999995</v>
      </c>
      <c r="R171" s="534">
        <f t="shared" si="43"/>
        <v>2.606926427606086E-4</v>
      </c>
      <c r="S171" s="533">
        <f t="shared" si="44"/>
        <v>2.8676190703666947E-5</v>
      </c>
      <c r="T171" s="532">
        <f t="shared" si="45"/>
        <v>8.6571696199999995</v>
      </c>
      <c r="U171" s="534">
        <f t="shared" si="46"/>
        <v>2.4146323842015661E-4</v>
      </c>
      <c r="V171" s="533">
        <f t="shared" si="47"/>
        <v>2.0741692180291454E-5</v>
      </c>
      <c r="W171" s="533"/>
      <c r="X171" s="535">
        <v>0.26800000000000002</v>
      </c>
      <c r="Y171" s="535">
        <v>0.11</v>
      </c>
      <c r="Z171" s="535">
        <v>8.5900000000000004E-2</v>
      </c>
    </row>
    <row r="172" spans="1:26" ht="14.5">
      <c r="A172" s="509">
        <v>168</v>
      </c>
      <c r="B172" s="524" t="s">
        <v>813</v>
      </c>
      <c r="C172" s="525" t="s">
        <v>814</v>
      </c>
      <c r="D172" s="526">
        <v>15.22</v>
      </c>
      <c r="E172" s="527">
        <v>0.63</v>
      </c>
      <c r="F172" s="101">
        <f t="shared" si="32"/>
        <v>4.139290407358738E-2</v>
      </c>
      <c r="G172" s="102">
        <f t="shared" si="33"/>
        <v>5.3099999999999994E-2</v>
      </c>
      <c r="H172" s="102">
        <f t="shared" si="34"/>
        <v>7.0000000000000007E-2</v>
      </c>
      <c r="I172" s="102">
        <f t="shared" si="35"/>
        <v>9.11E-2</v>
      </c>
      <c r="J172" s="528">
        <v>1457</v>
      </c>
      <c r="K172" s="529">
        <f t="shared" si="36"/>
        <v>22.175540000000002</v>
      </c>
      <c r="L172" s="530">
        <f t="shared" si="37"/>
        <v>5.4404752722539721E-4</v>
      </c>
      <c r="M172" s="531">
        <f t="shared" si="38"/>
        <v>2.2519707105913284E-5</v>
      </c>
      <c r="N172" s="532">
        <f t="shared" si="39"/>
        <v>22.175540000000002</v>
      </c>
      <c r="O172" s="533">
        <f t="shared" si="40"/>
        <v>6.6239058777837253E-4</v>
      </c>
      <c r="P172" s="533">
        <f t="shared" si="41"/>
        <v>3.5172940211031577E-5</v>
      </c>
      <c r="Q172" s="532">
        <f t="shared" si="42"/>
        <v>22.175540000000002</v>
      </c>
      <c r="R172" s="534">
        <f t="shared" si="43"/>
        <v>6.6777022756816292E-4</v>
      </c>
      <c r="S172" s="533">
        <f t="shared" si="44"/>
        <v>4.6743915929771409E-5</v>
      </c>
      <c r="T172" s="532">
        <f t="shared" si="45"/>
        <v>22.175540000000002</v>
      </c>
      <c r="U172" s="534">
        <f t="shared" si="46"/>
        <v>6.1851366406700029E-4</v>
      </c>
      <c r="V172" s="533">
        <f t="shared" si="47"/>
        <v>5.6346594796503729E-5</v>
      </c>
      <c r="W172" s="533"/>
      <c r="X172" s="535">
        <v>5.3099999999999994E-2</v>
      </c>
      <c r="Y172" s="535">
        <v>7.0000000000000007E-2</v>
      </c>
      <c r="Z172" s="535">
        <v>9.11E-2</v>
      </c>
    </row>
    <row r="173" spans="1:26" ht="14.5">
      <c r="A173" s="509">
        <v>169</v>
      </c>
      <c r="B173" s="524" t="s">
        <v>815</v>
      </c>
      <c r="C173" s="525" t="s">
        <v>816</v>
      </c>
      <c r="D173" s="526">
        <v>353.92</v>
      </c>
      <c r="E173" s="527">
        <v>2.88</v>
      </c>
      <c r="F173" s="101">
        <f t="shared" si="32"/>
        <v>8.1374321880650982E-3</v>
      </c>
      <c r="G173" s="102">
        <f t="shared" si="33"/>
        <v>0.11871999999999999</v>
      </c>
      <c r="H173" s="102">
        <f t="shared" si="34"/>
        <v>0.1</v>
      </c>
      <c r="I173" s="102">
        <f t="shared" si="35"/>
        <v>0.11470000000000001</v>
      </c>
      <c r="J173" s="528">
        <v>246.203</v>
      </c>
      <c r="K173" s="529">
        <f t="shared" si="36"/>
        <v>87.136165759999997</v>
      </c>
      <c r="L173" s="530">
        <f t="shared" si="37"/>
        <v>2.1377705126292448E-3</v>
      </c>
      <c r="M173" s="531">
        <f t="shared" si="38"/>
        <v>1.7395962580165643E-5</v>
      </c>
      <c r="N173" s="532">
        <f t="shared" si="39"/>
        <v>87.136165759999997</v>
      </c>
      <c r="O173" s="533">
        <f t="shared" si="40"/>
        <v>2.6027855941510372E-3</v>
      </c>
      <c r="P173" s="533">
        <f t="shared" si="41"/>
        <v>3.090027057376111E-4</v>
      </c>
      <c r="Q173" s="532">
        <f t="shared" si="42"/>
        <v>87.136165759999997</v>
      </c>
      <c r="R173" s="534">
        <f t="shared" si="43"/>
        <v>2.6239242534329432E-3</v>
      </c>
      <c r="S173" s="533">
        <f t="shared" si="44"/>
        <v>2.6239242534329435E-4</v>
      </c>
      <c r="T173" s="532">
        <f t="shared" si="45"/>
        <v>87.136165759999997</v>
      </c>
      <c r="U173" s="534">
        <f t="shared" si="46"/>
        <v>2.430376403774929E-3</v>
      </c>
      <c r="V173" s="533">
        <f t="shared" si="47"/>
        <v>2.7876417351298439E-4</v>
      </c>
      <c r="W173" s="533"/>
      <c r="X173" s="535">
        <v>0.11871999999999999</v>
      </c>
      <c r="Y173" s="535">
        <v>0.1</v>
      </c>
      <c r="Z173" s="535">
        <v>0.11470000000000001</v>
      </c>
    </row>
    <row r="174" spans="1:26" ht="14.5">
      <c r="A174" s="509">
        <v>170</v>
      </c>
      <c r="B174" s="524" t="s">
        <v>817</v>
      </c>
      <c r="C174" s="525" t="s">
        <v>392</v>
      </c>
      <c r="D174" s="526">
        <v>364.86</v>
      </c>
      <c r="E174" s="527">
        <v>9.1999999999999993</v>
      </c>
      <c r="F174" s="101">
        <f t="shared" si="32"/>
        <v>2.521515101682837E-2</v>
      </c>
      <c r="G174" s="102">
        <f t="shared" si="33"/>
        <v>5.0999999999999997E-2</v>
      </c>
      <c r="H174" s="102">
        <f t="shared" si="34"/>
        <v>0.06</v>
      </c>
      <c r="I174" s="102">
        <f t="shared" si="35"/>
        <v>7.0499999999999993E-2</v>
      </c>
      <c r="J174" s="528">
        <v>993.928</v>
      </c>
      <c r="K174" s="529">
        <f t="shared" si="36"/>
        <v>362.64457008000005</v>
      </c>
      <c r="L174" s="530">
        <f t="shared" si="37"/>
        <v>8.8970046102030114E-3</v>
      </c>
      <c r="M174" s="531">
        <f t="shared" si="38"/>
        <v>2.2433931484368717E-4</v>
      </c>
      <c r="N174" s="532">
        <f t="shared" si="39"/>
        <v>362.64457008000005</v>
      </c>
      <c r="O174" s="533">
        <f t="shared" si="40"/>
        <v>1.0832311182948711E-2</v>
      </c>
      <c r="P174" s="533">
        <f t="shared" si="41"/>
        <v>5.5244787033038422E-4</v>
      </c>
      <c r="Q174" s="532">
        <f t="shared" si="42"/>
        <v>362.64457008000005</v>
      </c>
      <c r="R174" s="534">
        <f t="shared" si="43"/>
        <v>1.0920286364556634E-2</v>
      </c>
      <c r="S174" s="533">
        <f t="shared" si="44"/>
        <v>6.55217181873398E-4</v>
      </c>
      <c r="T174" s="532">
        <f t="shared" si="45"/>
        <v>362.64457008000005</v>
      </c>
      <c r="U174" s="534">
        <f t="shared" si="46"/>
        <v>1.0114776090872324E-2</v>
      </c>
      <c r="V174" s="533">
        <f t="shared" si="47"/>
        <v>7.1309171440649881E-4</v>
      </c>
      <c r="W174" s="533"/>
      <c r="X174" s="535">
        <v>5.0999999999999997E-2</v>
      </c>
      <c r="Y174" s="535">
        <v>0.06</v>
      </c>
      <c r="Z174" s="535">
        <v>7.0499999999999993E-2</v>
      </c>
    </row>
    <row r="175" spans="1:26" ht="14.5">
      <c r="A175" s="509">
        <v>171</v>
      </c>
      <c r="B175" s="524" t="s">
        <v>818</v>
      </c>
      <c r="C175" s="525" t="s">
        <v>819</v>
      </c>
      <c r="D175" s="526">
        <v>130.88</v>
      </c>
      <c r="E175" s="527">
        <v>2</v>
      </c>
      <c r="F175" s="101">
        <f t="shared" si="32"/>
        <v>1.528117359413203E-2</v>
      </c>
      <c r="G175" s="102" t="str">
        <f t="shared" si="33"/>
        <v>NMF</v>
      </c>
      <c r="H175" s="102">
        <f t="shared" si="34"/>
        <v>7.4999999999999997E-2</v>
      </c>
      <c r="I175" s="102" t="str">
        <f t="shared" si="35"/>
        <v>NMF</v>
      </c>
      <c r="J175" s="528">
        <v>309.31</v>
      </c>
      <c r="K175" s="529">
        <f t="shared" si="36"/>
        <v>40.482492800000003</v>
      </c>
      <c r="L175" s="530">
        <f t="shared" si="37"/>
        <v>9.9318438711120207E-4</v>
      </c>
      <c r="M175" s="531">
        <f t="shared" si="38"/>
        <v>1.5177023030427905E-5</v>
      </c>
      <c r="N175" s="532" t="str">
        <f t="shared" si="39"/>
        <v>--</v>
      </c>
      <c r="O175" s="533" t="str">
        <f t="shared" si="40"/>
        <v>--</v>
      </c>
      <c r="P175" s="533" t="str">
        <f t="shared" si="41"/>
        <v>--</v>
      </c>
      <c r="Q175" s="532">
        <f t="shared" si="42"/>
        <v>40.482492800000003</v>
      </c>
      <c r="R175" s="534">
        <f t="shared" si="43"/>
        <v>1.2190460042723883E-3</v>
      </c>
      <c r="S175" s="533">
        <f t="shared" si="44"/>
        <v>9.1428450320429119E-5</v>
      </c>
      <c r="T175" s="532" t="str">
        <f t="shared" si="45"/>
        <v>--</v>
      </c>
      <c r="U175" s="534" t="str">
        <f t="shared" si="46"/>
        <v>--</v>
      </c>
      <c r="V175" s="533" t="str">
        <f t="shared" si="47"/>
        <v>--</v>
      </c>
      <c r="W175" s="533"/>
      <c r="X175" s="535" t="s">
        <v>36</v>
      </c>
      <c r="Y175" s="535">
        <v>7.4999999999999997E-2</v>
      </c>
      <c r="Z175" s="535" t="s">
        <v>36</v>
      </c>
    </row>
    <row r="176" spans="1:26" ht="14.5">
      <c r="A176" s="509">
        <v>172</v>
      </c>
      <c r="B176" s="524" t="s">
        <v>1327</v>
      </c>
      <c r="C176" s="525" t="s">
        <v>820</v>
      </c>
      <c r="D176" s="526">
        <v>128.21</v>
      </c>
      <c r="E176" s="527">
        <v>2.08</v>
      </c>
      <c r="F176" s="101">
        <f t="shared" si="32"/>
        <v>1.6223383511426565E-2</v>
      </c>
      <c r="G176" s="102">
        <f t="shared" si="33"/>
        <v>0.157</v>
      </c>
      <c r="H176" s="102">
        <f t="shared" si="34"/>
        <v>7.0000000000000007E-2</v>
      </c>
      <c r="I176" s="102">
        <f t="shared" si="35"/>
        <v>9.4399999999999998E-2</v>
      </c>
      <c r="J176" s="528">
        <v>284.10300000000001</v>
      </c>
      <c r="K176" s="529">
        <f t="shared" si="36"/>
        <v>36.42484563</v>
      </c>
      <c r="L176" s="530">
        <f t="shared" si="37"/>
        <v>8.9363538360591509E-4</v>
      </c>
      <c r="M176" s="531">
        <f t="shared" si="38"/>
        <v>1.4497789547619557E-5</v>
      </c>
      <c r="N176" s="532">
        <f t="shared" si="39"/>
        <v>36.42484563</v>
      </c>
      <c r="O176" s="533">
        <f t="shared" si="40"/>
        <v>1.0880219785670241E-3</v>
      </c>
      <c r="P176" s="533">
        <f t="shared" si="41"/>
        <v>1.7081945063502279E-4</v>
      </c>
      <c r="Q176" s="532">
        <f t="shared" si="42"/>
        <v>36.42484563</v>
      </c>
      <c r="R176" s="534">
        <f t="shared" si="43"/>
        <v>1.0968584059499928E-3</v>
      </c>
      <c r="S176" s="533">
        <f t="shared" si="44"/>
        <v>7.6780088416499511E-5</v>
      </c>
      <c r="T176" s="532">
        <f t="shared" si="45"/>
        <v>36.42484563</v>
      </c>
      <c r="U176" s="534">
        <f t="shared" si="46"/>
        <v>1.0159511215368897E-3</v>
      </c>
      <c r="V176" s="533">
        <f t="shared" si="47"/>
        <v>9.5905785873082387E-5</v>
      </c>
      <c r="W176" s="533"/>
      <c r="X176" s="535">
        <v>0.157</v>
      </c>
      <c r="Y176" s="535">
        <v>7.0000000000000007E-2</v>
      </c>
      <c r="Z176" s="535">
        <v>9.4399999999999998E-2</v>
      </c>
    </row>
    <row r="177" spans="1:26" ht="14.5">
      <c r="A177" s="509">
        <v>173</v>
      </c>
      <c r="B177" s="524" t="s">
        <v>821</v>
      </c>
      <c r="C177" s="525" t="s">
        <v>822</v>
      </c>
      <c r="D177" s="526">
        <v>232.95</v>
      </c>
      <c r="E177" s="527">
        <v>5.4</v>
      </c>
      <c r="F177" s="101">
        <f t="shared" si="32"/>
        <v>2.3180940115904703E-2</v>
      </c>
      <c r="G177" s="102">
        <f t="shared" si="33"/>
        <v>0.10913</v>
      </c>
      <c r="H177" s="102">
        <f t="shared" si="34"/>
        <v>0.105</v>
      </c>
      <c r="I177" s="102">
        <f t="shared" si="35"/>
        <v>0.1104</v>
      </c>
      <c r="J177" s="528">
        <v>39.238999999999997</v>
      </c>
      <c r="K177" s="529">
        <f t="shared" si="36"/>
        <v>9.1407250499999986</v>
      </c>
      <c r="L177" s="530">
        <f t="shared" si="37"/>
        <v>2.2425559244553884E-4</v>
      </c>
      <c r="M177" s="531">
        <f t="shared" si="38"/>
        <v>5.1984554591367668E-6</v>
      </c>
      <c r="N177" s="532">
        <f t="shared" si="39"/>
        <v>9.1407250499999986</v>
      </c>
      <c r="O177" s="533">
        <f t="shared" si="40"/>
        <v>2.7303642836160893E-4</v>
      </c>
      <c r="P177" s="533">
        <f t="shared" si="41"/>
        <v>2.9796465427102384E-5</v>
      </c>
      <c r="Q177" s="532">
        <f t="shared" si="42"/>
        <v>9.1407250499999986</v>
      </c>
      <c r="R177" s="534">
        <f t="shared" si="43"/>
        <v>2.7525390798945623E-4</v>
      </c>
      <c r="S177" s="533">
        <f t="shared" si="44"/>
        <v>2.8901660338892904E-5</v>
      </c>
      <c r="T177" s="532">
        <f t="shared" si="45"/>
        <v>9.1407250499999986</v>
      </c>
      <c r="U177" s="534">
        <f t="shared" si="46"/>
        <v>2.5495042478805536E-4</v>
      </c>
      <c r="V177" s="533">
        <f t="shared" si="47"/>
        <v>2.8146526896601312E-5</v>
      </c>
      <c r="W177" s="533"/>
      <c r="X177" s="535">
        <v>0.10913</v>
      </c>
      <c r="Y177" s="535">
        <v>0.105</v>
      </c>
      <c r="Z177" s="535">
        <v>0.1104</v>
      </c>
    </row>
    <row r="178" spans="1:26" ht="14.5">
      <c r="A178" s="509">
        <v>174</v>
      </c>
      <c r="B178" s="524" t="s">
        <v>823</v>
      </c>
      <c r="C178" s="525" t="s">
        <v>824</v>
      </c>
      <c r="D178" s="526">
        <v>243.18</v>
      </c>
      <c r="E178" s="527">
        <v>0.6</v>
      </c>
      <c r="F178" s="101">
        <f t="shared" si="32"/>
        <v>2.467308166790032E-3</v>
      </c>
      <c r="G178" s="102">
        <f t="shared" si="33"/>
        <v>0.124</v>
      </c>
      <c r="H178" s="102">
        <f t="shared" si="34"/>
        <v>0.15</v>
      </c>
      <c r="I178" s="102">
        <f t="shared" si="35"/>
        <v>0.11230000000000001</v>
      </c>
      <c r="J178" s="528">
        <v>237.7</v>
      </c>
      <c r="K178" s="529">
        <f t="shared" si="36"/>
        <v>57.803885999999999</v>
      </c>
      <c r="L178" s="530">
        <f t="shared" si="37"/>
        <v>1.418141846481247E-3</v>
      </c>
      <c r="M178" s="531">
        <f t="shared" si="38"/>
        <v>3.4989929594898767E-6</v>
      </c>
      <c r="N178" s="532">
        <f t="shared" si="39"/>
        <v>57.803885999999999</v>
      </c>
      <c r="O178" s="533">
        <f t="shared" si="40"/>
        <v>1.7266208635015896E-3</v>
      </c>
      <c r="P178" s="533">
        <f t="shared" si="41"/>
        <v>2.1410098707419712E-4</v>
      </c>
      <c r="Q178" s="532">
        <f t="shared" si="42"/>
        <v>57.803885999999999</v>
      </c>
      <c r="R178" s="534">
        <f t="shared" si="43"/>
        <v>1.7406437051158234E-3</v>
      </c>
      <c r="S178" s="533">
        <f t="shared" si="44"/>
        <v>2.6109655576737352E-4</v>
      </c>
      <c r="T178" s="532">
        <f t="shared" si="45"/>
        <v>57.803885999999999</v>
      </c>
      <c r="U178" s="534">
        <f t="shared" si="46"/>
        <v>1.6122490513047788E-3</v>
      </c>
      <c r="V178" s="533">
        <f t="shared" si="47"/>
        <v>1.8105556846152669E-4</v>
      </c>
      <c r="W178" s="533"/>
      <c r="X178" s="535">
        <v>0.124</v>
      </c>
      <c r="Y178" s="535">
        <v>0.15</v>
      </c>
      <c r="Z178" s="535">
        <v>0.11230000000000001</v>
      </c>
    </row>
    <row r="179" spans="1:26" ht="14.5">
      <c r="A179" s="509">
        <v>175</v>
      </c>
      <c r="B179" s="524" t="s">
        <v>825</v>
      </c>
      <c r="C179" s="525" t="s">
        <v>826</v>
      </c>
      <c r="D179" s="526">
        <v>214.54</v>
      </c>
      <c r="E179" s="527">
        <v>4.5199999999999996</v>
      </c>
      <c r="F179" s="101">
        <f t="shared" si="32"/>
        <v>2.1068332245735059E-2</v>
      </c>
      <c r="G179" s="102">
        <f t="shared" si="33"/>
        <v>7.6369999999999993E-2</v>
      </c>
      <c r="H179" s="102">
        <f t="shared" si="34"/>
        <v>9.5000000000000001E-2</v>
      </c>
      <c r="I179" s="102">
        <f t="shared" si="35"/>
        <v>8.1300000000000011E-2</v>
      </c>
      <c r="J179" s="528">
        <v>642.68299999999999</v>
      </c>
      <c r="K179" s="529">
        <f t="shared" si="36"/>
        <v>137.88121082000001</v>
      </c>
      <c r="L179" s="530">
        <f t="shared" si="37"/>
        <v>3.3827330381792139E-3</v>
      </c>
      <c r="M179" s="531">
        <f t="shared" si="38"/>
        <v>7.1268543546984463E-5</v>
      </c>
      <c r="N179" s="532">
        <f t="shared" si="39"/>
        <v>137.88121082000001</v>
      </c>
      <c r="O179" s="533">
        <f t="shared" si="40"/>
        <v>4.1185565843561648E-3</v>
      </c>
      <c r="P179" s="533">
        <f t="shared" si="41"/>
        <v>3.1453416634728029E-4</v>
      </c>
      <c r="Q179" s="532">
        <f t="shared" si="42"/>
        <v>137.88121082000001</v>
      </c>
      <c r="R179" s="534">
        <f t="shared" si="43"/>
        <v>4.1520056569826595E-3</v>
      </c>
      <c r="S179" s="533">
        <f t="shared" si="44"/>
        <v>3.9444053741335267E-4</v>
      </c>
      <c r="T179" s="532">
        <f t="shared" si="45"/>
        <v>137.88121082000001</v>
      </c>
      <c r="U179" s="534">
        <f t="shared" si="46"/>
        <v>3.8457423318788504E-3</v>
      </c>
      <c r="V179" s="533">
        <f t="shared" si="47"/>
        <v>3.1265885158175059E-4</v>
      </c>
      <c r="W179" s="533"/>
      <c r="X179" s="535">
        <v>7.6369999999999993E-2</v>
      </c>
      <c r="Y179" s="535">
        <v>9.5000000000000001E-2</v>
      </c>
      <c r="Z179" s="535">
        <v>8.1300000000000011E-2</v>
      </c>
    </row>
    <row r="180" spans="1:26" ht="14.5">
      <c r="A180" s="509">
        <v>176</v>
      </c>
      <c r="B180" s="524" t="s">
        <v>827</v>
      </c>
      <c r="C180" s="525" t="s">
        <v>828</v>
      </c>
      <c r="D180" s="526">
        <v>16.87</v>
      </c>
      <c r="E180" s="527">
        <v>0.52</v>
      </c>
      <c r="F180" s="101">
        <f t="shared" si="32"/>
        <v>3.0823947836395967E-2</v>
      </c>
      <c r="G180" s="102">
        <f t="shared" si="33"/>
        <v>4.4029999999999993E-2</v>
      </c>
      <c r="H180" s="102">
        <f t="shared" si="34"/>
        <v>5.5E-2</v>
      </c>
      <c r="I180" s="102">
        <f t="shared" si="35"/>
        <v>4.1399999999999999E-2</v>
      </c>
      <c r="J180" s="528">
        <v>1313.578</v>
      </c>
      <c r="K180" s="529">
        <f t="shared" si="36"/>
        <v>22.160060860000002</v>
      </c>
      <c r="L180" s="530">
        <f t="shared" si="37"/>
        <v>5.4366776701028738E-4</v>
      </c>
      <c r="M180" s="531">
        <f t="shared" si="38"/>
        <v>1.6757986890654974E-5</v>
      </c>
      <c r="N180" s="532">
        <f t="shared" si="39"/>
        <v>22.160060860000002</v>
      </c>
      <c r="O180" s="533">
        <f t="shared" si="40"/>
        <v>6.6192822083520439E-4</v>
      </c>
      <c r="P180" s="533">
        <f t="shared" si="41"/>
        <v>2.9144699563374044E-5</v>
      </c>
      <c r="Q180" s="532">
        <f t="shared" si="42"/>
        <v>22.160060860000002</v>
      </c>
      <c r="R180" s="534">
        <f t="shared" si="43"/>
        <v>6.6730410548769233E-4</v>
      </c>
      <c r="S180" s="533">
        <f t="shared" si="44"/>
        <v>3.6701725801823082E-5</v>
      </c>
      <c r="T180" s="532">
        <f t="shared" si="45"/>
        <v>22.160060860000002</v>
      </c>
      <c r="U180" s="534">
        <f t="shared" si="46"/>
        <v>6.1808192442963379E-4</v>
      </c>
      <c r="V180" s="533">
        <f t="shared" si="47"/>
        <v>2.5588591671386838E-5</v>
      </c>
      <c r="W180" s="533"/>
      <c r="X180" s="535">
        <v>4.4029999999999993E-2</v>
      </c>
      <c r="Y180" s="535">
        <v>5.5E-2</v>
      </c>
      <c r="Z180" s="535">
        <v>4.1399999999999999E-2</v>
      </c>
    </row>
    <row r="181" spans="1:26" ht="14.5">
      <c r="A181" s="509">
        <v>177</v>
      </c>
      <c r="B181" s="524" t="s">
        <v>829</v>
      </c>
      <c r="C181" s="525" t="s">
        <v>830</v>
      </c>
      <c r="D181" s="526">
        <v>26.33</v>
      </c>
      <c r="E181" s="527">
        <v>1.1599999999999999</v>
      </c>
      <c r="F181" s="101">
        <f t="shared" si="32"/>
        <v>4.4056209646790731E-2</v>
      </c>
      <c r="G181" s="102">
        <f t="shared" si="33"/>
        <v>1.6E-2</v>
      </c>
      <c r="H181" s="102">
        <f t="shared" si="34"/>
        <v>5.5E-2</v>
      </c>
      <c r="I181" s="102">
        <f t="shared" si="35"/>
        <v>2.7799999999999998E-2</v>
      </c>
      <c r="J181" s="528">
        <v>942.70299999999997</v>
      </c>
      <c r="K181" s="529">
        <f t="shared" si="36"/>
        <v>24.821369990000001</v>
      </c>
      <c r="L181" s="530">
        <f t="shared" si="37"/>
        <v>6.0895946459054351E-4</v>
      </c>
      <c r="M181" s="531">
        <f t="shared" si="38"/>
        <v>2.6828445838398421E-5</v>
      </c>
      <c r="N181" s="532">
        <f t="shared" si="39"/>
        <v>24.821369990000001</v>
      </c>
      <c r="O181" s="533">
        <f t="shared" si="40"/>
        <v>7.4142238958512657E-4</v>
      </c>
      <c r="P181" s="533">
        <f t="shared" si="41"/>
        <v>1.1862758233362025E-5</v>
      </c>
      <c r="Q181" s="532">
        <f t="shared" si="42"/>
        <v>24.821369990000001</v>
      </c>
      <c r="R181" s="534">
        <f t="shared" si="43"/>
        <v>7.4744389028523635E-4</v>
      </c>
      <c r="S181" s="533">
        <f t="shared" si="44"/>
        <v>4.1109413965687998E-5</v>
      </c>
      <c r="T181" s="532">
        <f t="shared" si="45"/>
        <v>24.821369990000001</v>
      </c>
      <c r="U181" s="534">
        <f t="shared" si="46"/>
        <v>6.9231037889844313E-4</v>
      </c>
      <c r="V181" s="533">
        <f t="shared" si="47"/>
        <v>1.9246228533376717E-5</v>
      </c>
      <c r="W181" s="533"/>
      <c r="X181" s="535">
        <v>1.6E-2</v>
      </c>
      <c r="Y181" s="535">
        <v>5.5E-2</v>
      </c>
      <c r="Z181" s="535">
        <v>2.7799999999999998E-2</v>
      </c>
    </row>
    <row r="182" spans="1:26" ht="14.5">
      <c r="A182" s="509">
        <v>178</v>
      </c>
      <c r="B182" s="524" t="s">
        <v>831</v>
      </c>
      <c r="C182" s="525" t="s">
        <v>394</v>
      </c>
      <c r="D182" s="526">
        <v>29.39</v>
      </c>
      <c r="E182" s="527">
        <v>1.1599999999999999</v>
      </c>
      <c r="F182" s="101">
        <f t="shared" si="32"/>
        <v>3.9469207213337867E-2</v>
      </c>
      <c r="G182" s="102">
        <f t="shared" si="33"/>
        <v>6.8000000000000005E-2</v>
      </c>
      <c r="H182" s="102">
        <f t="shared" si="34"/>
        <v>0.05</v>
      </c>
      <c r="I182" s="102">
        <f t="shared" si="35"/>
        <v>5.4900000000000004E-2</v>
      </c>
      <c r="J182" s="528">
        <v>549.91300000000001</v>
      </c>
      <c r="K182" s="529">
        <f t="shared" si="36"/>
        <v>16.16194307</v>
      </c>
      <c r="L182" s="530">
        <f t="shared" si="37"/>
        <v>3.9651188482405138E-4</v>
      </c>
      <c r="M182" s="531">
        <f t="shared" si="38"/>
        <v>1.5650009744671644E-5</v>
      </c>
      <c r="N182" s="532">
        <f t="shared" si="39"/>
        <v>16.16194307</v>
      </c>
      <c r="O182" s="533">
        <f t="shared" si="40"/>
        <v>4.8276249280864835E-4</v>
      </c>
      <c r="P182" s="533">
        <f t="shared" si="41"/>
        <v>3.2827849510988087E-5</v>
      </c>
      <c r="Q182" s="532">
        <f t="shared" si="42"/>
        <v>16.16194307</v>
      </c>
      <c r="R182" s="534">
        <f t="shared" si="43"/>
        <v>4.8668327363381425E-4</v>
      </c>
      <c r="S182" s="533">
        <f t="shared" si="44"/>
        <v>2.4334163681690714E-5</v>
      </c>
      <c r="T182" s="532">
        <f t="shared" si="45"/>
        <v>16.16194307</v>
      </c>
      <c r="U182" s="534">
        <f t="shared" si="46"/>
        <v>4.5078418052809364E-4</v>
      </c>
      <c r="V182" s="533">
        <f t="shared" si="47"/>
        <v>2.4748051510992341E-5</v>
      </c>
      <c r="W182" s="533"/>
      <c r="X182" s="535">
        <v>6.8000000000000005E-2</v>
      </c>
      <c r="Y182" s="535">
        <v>0.05</v>
      </c>
      <c r="Z182" s="535">
        <v>5.4900000000000004E-2</v>
      </c>
    </row>
    <row r="183" spans="1:26" ht="14.5">
      <c r="A183" s="509">
        <v>179</v>
      </c>
      <c r="B183" s="524" t="s">
        <v>832</v>
      </c>
      <c r="C183" s="525" t="s">
        <v>833</v>
      </c>
      <c r="D183" s="526">
        <v>14.85</v>
      </c>
      <c r="E183" s="527">
        <v>0.8</v>
      </c>
      <c r="F183" s="101">
        <f t="shared" si="32"/>
        <v>5.3872053872053877E-2</v>
      </c>
      <c r="G183" s="102" t="str">
        <f t="shared" si="33"/>
        <v>NMF</v>
      </c>
      <c r="H183" s="102">
        <f t="shared" si="34"/>
        <v>0.115</v>
      </c>
      <c r="I183" s="102" t="str">
        <f t="shared" si="35"/>
        <v>NMF</v>
      </c>
      <c r="J183" s="528">
        <v>693.71400000000006</v>
      </c>
      <c r="K183" s="529">
        <f t="shared" si="36"/>
        <v>10.301652900000001</v>
      </c>
      <c r="L183" s="530">
        <f t="shared" si="37"/>
        <v>2.5273742089614693E-4</v>
      </c>
      <c r="M183" s="531">
        <f t="shared" si="38"/>
        <v>1.3615483954001183E-5</v>
      </c>
      <c r="N183" s="532" t="str">
        <f t="shared" si="39"/>
        <v>--</v>
      </c>
      <c r="O183" s="533" t="str">
        <f t="shared" si="40"/>
        <v>--</v>
      </c>
      <c r="P183" s="533" t="str">
        <f t="shared" si="41"/>
        <v>--</v>
      </c>
      <c r="Q183" s="532">
        <f t="shared" si="42"/>
        <v>10.301652900000001</v>
      </c>
      <c r="R183" s="534">
        <f t="shared" si="43"/>
        <v>3.1021283366092667E-4</v>
      </c>
      <c r="S183" s="533">
        <f t="shared" si="44"/>
        <v>3.5674475871006572E-5</v>
      </c>
      <c r="T183" s="532" t="str">
        <f t="shared" si="45"/>
        <v>--</v>
      </c>
      <c r="U183" s="534" t="str">
        <f t="shared" si="46"/>
        <v>--</v>
      </c>
      <c r="V183" s="533" t="str">
        <f t="shared" si="47"/>
        <v>--</v>
      </c>
      <c r="W183" s="533"/>
      <c r="X183" s="535" t="s">
        <v>36</v>
      </c>
      <c r="Y183" s="535">
        <v>0.115</v>
      </c>
      <c r="Z183" s="535" t="s">
        <v>36</v>
      </c>
    </row>
    <row r="184" spans="1:26" ht="14.5">
      <c r="A184" s="509">
        <v>180</v>
      </c>
      <c r="B184" s="524" t="s">
        <v>834</v>
      </c>
      <c r="C184" s="525" t="s">
        <v>389</v>
      </c>
      <c r="D184" s="526">
        <v>170.12</v>
      </c>
      <c r="E184" s="527">
        <v>5.63</v>
      </c>
      <c r="F184" s="101">
        <f t="shared" si="32"/>
        <v>3.3094286386080411E-2</v>
      </c>
      <c r="G184" s="102" t="str">
        <f t="shared" si="33"/>
        <v>NMF</v>
      </c>
      <c r="H184" s="102">
        <f t="shared" si="34"/>
        <v>0.05</v>
      </c>
      <c r="I184" s="102">
        <f t="shared" si="35"/>
        <v>4.6100000000000002E-2</v>
      </c>
      <c r="J184" s="528">
        <v>202.56299999999999</v>
      </c>
      <c r="K184" s="529">
        <f t="shared" si="36"/>
        <v>34.460017559999997</v>
      </c>
      <c r="L184" s="530">
        <f t="shared" si="37"/>
        <v>8.4543092712338749E-4</v>
      </c>
      <c r="M184" s="531">
        <f t="shared" si="38"/>
        <v>2.7978933221870863E-5</v>
      </c>
      <c r="N184" s="532" t="str">
        <f t="shared" si="39"/>
        <v>--</v>
      </c>
      <c r="O184" s="533" t="str">
        <f t="shared" si="40"/>
        <v>--</v>
      </c>
      <c r="P184" s="533" t="str">
        <f t="shared" si="41"/>
        <v>--</v>
      </c>
      <c r="Q184" s="532">
        <f t="shared" si="42"/>
        <v>34.460017559999997</v>
      </c>
      <c r="R184" s="534">
        <f t="shared" si="43"/>
        <v>1.0376916985130504E-3</v>
      </c>
      <c r="S184" s="533">
        <f t="shared" si="44"/>
        <v>5.1884584925652524E-5</v>
      </c>
      <c r="T184" s="532">
        <f t="shared" si="45"/>
        <v>34.460017559999997</v>
      </c>
      <c r="U184" s="534">
        <f t="shared" si="46"/>
        <v>9.6114871271900328E-4</v>
      </c>
      <c r="V184" s="533">
        <f t="shared" si="47"/>
        <v>4.4308955656346053E-5</v>
      </c>
      <c r="W184" s="533"/>
      <c r="X184" s="535">
        <v>-8.4250000000000005E-2</v>
      </c>
      <c r="Y184" s="535">
        <v>0.05</v>
      </c>
      <c r="Z184" s="535">
        <v>4.6100000000000002E-2</v>
      </c>
    </row>
    <row r="185" spans="1:26" ht="14.5">
      <c r="A185" s="509">
        <v>181</v>
      </c>
      <c r="B185" s="524" t="s">
        <v>1328</v>
      </c>
      <c r="C185" s="525" t="s">
        <v>1329</v>
      </c>
      <c r="D185" s="526">
        <v>354.57</v>
      </c>
      <c r="E185" s="527">
        <v>5.4</v>
      </c>
      <c r="F185" s="101">
        <f t="shared" si="32"/>
        <v>1.52297148658939E-2</v>
      </c>
      <c r="G185" s="102">
        <f t="shared" si="33"/>
        <v>6.4000000000000001E-2</v>
      </c>
      <c r="H185" s="102">
        <f t="shared" si="34"/>
        <v>0.06</v>
      </c>
      <c r="I185" s="102">
        <f t="shared" si="35"/>
        <v>0.16449999999999998</v>
      </c>
      <c r="J185" s="528">
        <v>53.372999999999998</v>
      </c>
      <c r="K185" s="529">
        <f t="shared" si="36"/>
        <v>18.924464609999998</v>
      </c>
      <c r="L185" s="530">
        <f t="shared" si="37"/>
        <v>4.6428669494113963E-4</v>
      </c>
      <c r="M185" s="531">
        <f t="shared" si="38"/>
        <v>7.0709539799818202E-6</v>
      </c>
      <c r="N185" s="532">
        <f t="shared" si="39"/>
        <v>18.924464609999998</v>
      </c>
      <c r="O185" s="533">
        <f t="shared" si="40"/>
        <v>5.6527990914353868E-4</v>
      </c>
      <c r="P185" s="533">
        <f t="shared" si="41"/>
        <v>3.6177914185186477E-5</v>
      </c>
      <c r="Q185" s="532">
        <f t="shared" si="42"/>
        <v>18.924464609999998</v>
      </c>
      <c r="R185" s="534">
        <f t="shared" si="43"/>
        <v>5.6987085947964933E-4</v>
      </c>
      <c r="S185" s="533">
        <f t="shared" si="44"/>
        <v>3.4192251568778959E-5</v>
      </c>
      <c r="T185" s="532">
        <f t="shared" si="45"/>
        <v>18.924464609999998</v>
      </c>
      <c r="U185" s="534">
        <f t="shared" si="46"/>
        <v>5.2783562188056629E-4</v>
      </c>
      <c r="V185" s="533">
        <f t="shared" si="47"/>
        <v>8.6828959799353144E-5</v>
      </c>
      <c r="W185" s="533"/>
      <c r="X185" s="535">
        <v>6.4000000000000001E-2</v>
      </c>
      <c r="Y185" s="535">
        <v>0.06</v>
      </c>
      <c r="Z185" s="535">
        <v>0.16449999999999998</v>
      </c>
    </row>
    <row r="186" spans="1:26" ht="14.5">
      <c r="A186" s="509">
        <v>182</v>
      </c>
      <c r="B186" s="524" t="s">
        <v>835</v>
      </c>
      <c r="C186" s="525" t="s">
        <v>836</v>
      </c>
      <c r="D186" s="526">
        <v>253.35</v>
      </c>
      <c r="E186" s="527">
        <v>3.54</v>
      </c>
      <c r="F186" s="101">
        <f t="shared" si="32"/>
        <v>1.3972764949674364E-2</v>
      </c>
      <c r="G186" s="102">
        <f t="shared" si="33"/>
        <v>0.12667</v>
      </c>
      <c r="H186" s="102">
        <f t="shared" si="34"/>
        <v>0.02</v>
      </c>
      <c r="I186" s="102">
        <f t="shared" si="35"/>
        <v>8.09E-2</v>
      </c>
      <c r="J186" s="528">
        <v>120.693</v>
      </c>
      <c r="K186" s="529">
        <f t="shared" si="36"/>
        <v>30.577571550000002</v>
      </c>
      <c r="L186" s="530">
        <f t="shared" si="37"/>
        <v>7.5018025222092256E-4</v>
      </c>
      <c r="M186" s="531">
        <f t="shared" si="38"/>
        <v>1.048209233417038E-5</v>
      </c>
      <c r="N186" s="532">
        <f t="shared" si="39"/>
        <v>30.577571550000002</v>
      </c>
      <c r="O186" s="533">
        <f t="shared" si="40"/>
        <v>9.1336200118868546E-4</v>
      </c>
      <c r="P186" s="533">
        <f t="shared" si="41"/>
        <v>1.1569556469057079E-4</v>
      </c>
      <c r="Q186" s="532">
        <f t="shared" si="42"/>
        <v>30.577571550000002</v>
      </c>
      <c r="R186" s="534">
        <f t="shared" si="43"/>
        <v>9.2077991843379173E-4</v>
      </c>
      <c r="S186" s="533">
        <f t="shared" si="44"/>
        <v>1.8415598368675835E-5</v>
      </c>
      <c r="T186" s="532">
        <f t="shared" si="45"/>
        <v>30.577571550000002</v>
      </c>
      <c r="U186" s="534">
        <f t="shared" si="46"/>
        <v>8.5286066619623987E-4</v>
      </c>
      <c r="V186" s="533">
        <f t="shared" si="47"/>
        <v>6.89964278952758E-5</v>
      </c>
      <c r="W186" s="533"/>
      <c r="X186" s="535">
        <v>0.12667</v>
      </c>
      <c r="Y186" s="535">
        <v>0.02</v>
      </c>
      <c r="Z186" s="535">
        <v>8.09E-2</v>
      </c>
    </row>
    <row r="187" spans="1:26" ht="14.5">
      <c r="A187" s="509">
        <v>183</v>
      </c>
      <c r="B187" s="524" t="s">
        <v>837</v>
      </c>
      <c r="C187" s="525" t="s">
        <v>838</v>
      </c>
      <c r="D187" s="526">
        <v>157.5</v>
      </c>
      <c r="E187" s="527">
        <v>0.4</v>
      </c>
      <c r="F187" s="101">
        <f t="shared" si="32"/>
        <v>2.5396825396825397E-3</v>
      </c>
      <c r="G187" s="102" t="str">
        <f t="shared" si="33"/>
        <v>NMF</v>
      </c>
      <c r="H187" s="102" t="str">
        <f t="shared" si="34"/>
        <v>NMF</v>
      </c>
      <c r="I187" s="102">
        <f t="shared" si="35"/>
        <v>0.18280000000000002</v>
      </c>
      <c r="J187" s="528">
        <v>404.464</v>
      </c>
      <c r="K187" s="529">
        <f t="shared" si="36"/>
        <v>63.70308</v>
      </c>
      <c r="L187" s="530">
        <f t="shared" si="37"/>
        <v>1.5628707643936361E-3</v>
      </c>
      <c r="M187" s="531">
        <f t="shared" si="38"/>
        <v>3.9691955921108217E-6</v>
      </c>
      <c r="N187" s="532" t="str">
        <f t="shared" si="39"/>
        <v>--</v>
      </c>
      <c r="O187" s="533" t="str">
        <f t="shared" si="40"/>
        <v>--</v>
      </c>
      <c r="P187" s="533" t="str">
        <f t="shared" si="41"/>
        <v>--</v>
      </c>
      <c r="Q187" s="532" t="str">
        <f t="shared" si="42"/>
        <v>--</v>
      </c>
      <c r="R187" s="534" t="str">
        <f t="shared" si="43"/>
        <v>--</v>
      </c>
      <c r="S187" s="533" t="str">
        <f t="shared" si="44"/>
        <v>--</v>
      </c>
      <c r="T187" s="532">
        <f t="shared" si="45"/>
        <v>63.70308</v>
      </c>
      <c r="U187" s="534">
        <f t="shared" si="46"/>
        <v>1.7767876418411115E-3</v>
      </c>
      <c r="V187" s="533">
        <f t="shared" si="47"/>
        <v>3.2479678092855519E-4</v>
      </c>
      <c r="W187" s="533"/>
      <c r="X187" s="535">
        <v>0.23879999999999998</v>
      </c>
      <c r="Y187" s="535">
        <v>0.20499999999999999</v>
      </c>
      <c r="Z187" s="535">
        <v>0.18280000000000002</v>
      </c>
    </row>
    <row r="188" spans="1:26" ht="14.5">
      <c r="A188" s="509">
        <v>184</v>
      </c>
      <c r="B188" s="524" t="s">
        <v>839</v>
      </c>
      <c r="C188" s="525" t="s">
        <v>840</v>
      </c>
      <c r="D188" s="526">
        <v>254.14</v>
      </c>
      <c r="E188" s="527">
        <v>7.2</v>
      </c>
      <c r="F188" s="101">
        <f t="shared" si="32"/>
        <v>2.8330841268592116E-2</v>
      </c>
      <c r="G188" s="102">
        <f t="shared" si="33"/>
        <v>3.7000000000000005E-2</v>
      </c>
      <c r="H188" s="102">
        <f t="shared" si="34"/>
        <v>0.06</v>
      </c>
      <c r="I188" s="102">
        <f t="shared" si="35"/>
        <v>4.3499999999999997E-2</v>
      </c>
      <c r="J188" s="528">
        <v>929.39700000000005</v>
      </c>
      <c r="K188" s="529">
        <f t="shared" si="36"/>
        <v>236.19695358000001</v>
      </c>
      <c r="L188" s="530">
        <f t="shared" si="37"/>
        <v>5.7947796776705741E-3</v>
      </c>
      <c r="M188" s="531">
        <f t="shared" si="38"/>
        <v>1.6417098323454841E-4</v>
      </c>
      <c r="N188" s="532">
        <f t="shared" si="39"/>
        <v>236.19695358000001</v>
      </c>
      <c r="O188" s="533">
        <f t="shared" si="40"/>
        <v>7.0552797773275047E-3</v>
      </c>
      <c r="P188" s="533">
        <f t="shared" si="41"/>
        <v>2.6104535176111769E-4</v>
      </c>
      <c r="Q188" s="532">
        <f t="shared" si="42"/>
        <v>236.19695358000001</v>
      </c>
      <c r="R188" s="534">
        <f t="shared" si="43"/>
        <v>7.1125796009036723E-3</v>
      </c>
      <c r="S188" s="533">
        <f t="shared" si="44"/>
        <v>4.2675477605422034E-4</v>
      </c>
      <c r="T188" s="532">
        <f t="shared" si="45"/>
        <v>236.19695358000001</v>
      </c>
      <c r="U188" s="534">
        <f t="shared" si="46"/>
        <v>6.5879362216310841E-3</v>
      </c>
      <c r="V188" s="533">
        <f t="shared" si="47"/>
        <v>2.8657522564095212E-4</v>
      </c>
      <c r="W188" s="533"/>
      <c r="X188" s="535">
        <v>3.7000000000000005E-2</v>
      </c>
      <c r="Y188" s="535">
        <v>0.06</v>
      </c>
      <c r="Z188" s="535">
        <v>4.3499999999999997E-2</v>
      </c>
    </row>
    <row r="189" spans="1:26" ht="14.5">
      <c r="A189" s="509">
        <v>185</v>
      </c>
      <c r="B189" s="524" t="s">
        <v>841</v>
      </c>
      <c r="C189" s="525" t="s">
        <v>396</v>
      </c>
      <c r="D189" s="526">
        <v>176.47</v>
      </c>
      <c r="E189" s="527">
        <v>1.92</v>
      </c>
      <c r="F189" s="101">
        <f t="shared" si="32"/>
        <v>1.0880036266787555E-2</v>
      </c>
      <c r="G189" s="102">
        <f t="shared" si="33"/>
        <v>0.12403</v>
      </c>
      <c r="H189" s="102">
        <f t="shared" si="34"/>
        <v>6.5000000000000002E-2</v>
      </c>
      <c r="I189" s="102">
        <f t="shared" si="35"/>
        <v>0.1343</v>
      </c>
      <c r="J189" s="528">
        <v>573.62599999999998</v>
      </c>
      <c r="K189" s="529">
        <f t="shared" si="36"/>
        <v>101.22778022</v>
      </c>
      <c r="L189" s="530">
        <f t="shared" si="37"/>
        <v>2.4834896248392135E-3</v>
      </c>
      <c r="M189" s="531">
        <f t="shared" si="38"/>
        <v>2.7020457186441261E-5</v>
      </c>
      <c r="N189" s="532">
        <f t="shared" si="39"/>
        <v>101.22778022</v>
      </c>
      <c r="O189" s="533">
        <f t="shared" si="40"/>
        <v>3.0237066984355604E-3</v>
      </c>
      <c r="P189" s="533">
        <f t="shared" si="41"/>
        <v>3.7503034180696255E-4</v>
      </c>
      <c r="Q189" s="532">
        <f t="shared" si="42"/>
        <v>101.22778022</v>
      </c>
      <c r="R189" s="534">
        <f t="shared" si="43"/>
        <v>3.048263890472538E-3</v>
      </c>
      <c r="S189" s="533">
        <f t="shared" si="44"/>
        <v>1.9813715288071498E-4</v>
      </c>
      <c r="T189" s="532">
        <f t="shared" si="45"/>
        <v>101.22778022</v>
      </c>
      <c r="U189" s="534">
        <f t="shared" si="46"/>
        <v>2.8234155853359695E-3</v>
      </c>
      <c r="V189" s="533">
        <f t="shared" si="47"/>
        <v>3.791847131106207E-4</v>
      </c>
      <c r="W189" s="533"/>
      <c r="X189" s="535">
        <v>0.12403</v>
      </c>
      <c r="Y189" s="535">
        <v>6.5000000000000002E-2</v>
      </c>
      <c r="Z189" s="535">
        <v>0.1343</v>
      </c>
    </row>
    <row r="190" spans="1:26" ht="14.5">
      <c r="A190" s="509">
        <v>186</v>
      </c>
      <c r="B190" s="524" t="s">
        <v>842</v>
      </c>
      <c r="C190" s="525" t="s">
        <v>843</v>
      </c>
      <c r="D190" s="526">
        <v>184.65</v>
      </c>
      <c r="E190" s="527">
        <v>2.76</v>
      </c>
      <c r="F190" s="101">
        <f t="shared" si="32"/>
        <v>1.4947197400487408E-2</v>
      </c>
      <c r="G190" s="102">
        <f t="shared" si="33"/>
        <v>0.12</v>
      </c>
      <c r="H190" s="102">
        <f t="shared" si="34"/>
        <v>5.5E-2</v>
      </c>
      <c r="I190" s="102">
        <f t="shared" si="35"/>
        <v>0.12</v>
      </c>
      <c r="J190" s="528">
        <v>75.545000000000002</v>
      </c>
      <c r="K190" s="529">
        <f t="shared" si="36"/>
        <v>13.949384250000001</v>
      </c>
      <c r="L190" s="530">
        <f t="shared" si="37"/>
        <v>3.4222968223228845E-4</v>
      </c>
      <c r="M190" s="531">
        <f t="shared" si="38"/>
        <v>5.1153746166320937E-6</v>
      </c>
      <c r="N190" s="532">
        <f t="shared" si="39"/>
        <v>13.949384250000001</v>
      </c>
      <c r="O190" s="533">
        <f t="shared" si="40"/>
        <v>4.1667264168105365E-4</v>
      </c>
      <c r="P190" s="533">
        <f t="shared" si="41"/>
        <v>5.000071700172644E-5</v>
      </c>
      <c r="Q190" s="532">
        <f t="shared" si="42"/>
        <v>13.949384250000001</v>
      </c>
      <c r="R190" s="534">
        <f t="shared" si="43"/>
        <v>4.2005667032497286E-4</v>
      </c>
      <c r="S190" s="533">
        <f t="shared" si="44"/>
        <v>2.3103116867873508E-5</v>
      </c>
      <c r="T190" s="532">
        <f t="shared" si="45"/>
        <v>13.949384250000001</v>
      </c>
      <c r="U190" s="534">
        <f t="shared" si="46"/>
        <v>3.8907213821832542E-4</v>
      </c>
      <c r="V190" s="533">
        <f t="shared" si="47"/>
        <v>4.668865658619905E-5</v>
      </c>
      <c r="W190" s="533"/>
      <c r="X190" s="535">
        <v>0.12</v>
      </c>
      <c r="Y190" s="535">
        <v>5.5E-2</v>
      </c>
      <c r="Z190" s="535">
        <v>0.12</v>
      </c>
    </row>
    <row r="191" spans="1:26" ht="14.5">
      <c r="A191" s="509">
        <v>187</v>
      </c>
      <c r="B191" s="524" t="s">
        <v>844</v>
      </c>
      <c r="C191" s="525" t="s">
        <v>845</v>
      </c>
      <c r="D191" s="526">
        <v>74.08</v>
      </c>
      <c r="E191" s="527">
        <v>1.6</v>
      </c>
      <c r="F191" s="101">
        <f t="shared" si="32"/>
        <v>2.1598272138228944E-2</v>
      </c>
      <c r="G191" s="102">
        <f t="shared" si="33"/>
        <v>6.9429999999999992E-2</v>
      </c>
      <c r="H191" s="102">
        <f t="shared" si="34"/>
        <v>5.0000000000000001E-3</v>
      </c>
      <c r="I191" s="102">
        <f t="shared" si="35"/>
        <v>3.8699999999999998E-2</v>
      </c>
      <c r="J191" s="528">
        <v>255.79</v>
      </c>
      <c r="K191" s="529">
        <f t="shared" si="36"/>
        <v>18.948923199999996</v>
      </c>
      <c r="L191" s="530">
        <f t="shared" si="37"/>
        <v>4.648867540787714E-4</v>
      </c>
      <c r="M191" s="531">
        <f t="shared" si="38"/>
        <v>1.0040750628051219E-5</v>
      </c>
      <c r="N191" s="532">
        <f t="shared" si="39"/>
        <v>18.948923199999996</v>
      </c>
      <c r="O191" s="533">
        <f t="shared" si="40"/>
        <v>5.6601049517690375E-4</v>
      </c>
      <c r="P191" s="533">
        <f t="shared" si="41"/>
        <v>3.9298108680132421E-5</v>
      </c>
      <c r="Q191" s="532">
        <f t="shared" si="42"/>
        <v>18.948923199999996</v>
      </c>
      <c r="R191" s="534">
        <f t="shared" si="43"/>
        <v>5.70607379005681E-4</v>
      </c>
      <c r="S191" s="533">
        <f t="shared" si="44"/>
        <v>2.853036895028405E-6</v>
      </c>
      <c r="T191" s="532">
        <f t="shared" si="45"/>
        <v>18.948923199999996</v>
      </c>
      <c r="U191" s="534">
        <f t="shared" si="46"/>
        <v>5.2851781370628112E-4</v>
      </c>
      <c r="V191" s="533">
        <f t="shared" si="47"/>
        <v>2.0453639390433078E-5</v>
      </c>
      <c r="W191" s="533"/>
      <c r="X191" s="535">
        <v>6.9429999999999992E-2</v>
      </c>
      <c r="Y191" s="535">
        <v>5.0000000000000001E-3</v>
      </c>
      <c r="Z191" s="535">
        <v>3.8699999999999998E-2</v>
      </c>
    </row>
    <row r="192" spans="1:26" ht="14.5">
      <c r="A192" s="509">
        <v>188</v>
      </c>
      <c r="B192" s="524" t="s">
        <v>846</v>
      </c>
      <c r="C192" s="525" t="s">
        <v>847</v>
      </c>
      <c r="D192" s="526">
        <v>656.08</v>
      </c>
      <c r="E192" s="527">
        <v>5.9</v>
      </c>
      <c r="F192" s="101">
        <f t="shared" si="32"/>
        <v>8.9928057553956831E-3</v>
      </c>
      <c r="G192" s="102">
        <f t="shared" si="33"/>
        <v>0.13807</v>
      </c>
      <c r="H192" s="102">
        <f t="shared" si="34"/>
        <v>0.13</v>
      </c>
      <c r="I192" s="102">
        <f t="shared" si="35"/>
        <v>0.14380000000000001</v>
      </c>
      <c r="J192" s="528">
        <v>279.56200000000001</v>
      </c>
      <c r="K192" s="529">
        <f t="shared" si="36"/>
        <v>183.41503696000004</v>
      </c>
      <c r="L192" s="530">
        <f t="shared" si="37"/>
        <v>4.4998452039518699E-3</v>
      </c>
      <c r="M192" s="531">
        <f t="shared" si="38"/>
        <v>4.0466233848488034E-5</v>
      </c>
      <c r="N192" s="532">
        <f t="shared" si="39"/>
        <v>183.41503696000004</v>
      </c>
      <c r="O192" s="533">
        <f t="shared" si="40"/>
        <v>5.4786667715566945E-3</v>
      </c>
      <c r="P192" s="533">
        <f t="shared" si="41"/>
        <v>7.5643952114883277E-4</v>
      </c>
      <c r="Q192" s="532">
        <f t="shared" si="42"/>
        <v>183.41503696000004</v>
      </c>
      <c r="R192" s="534">
        <f t="shared" si="43"/>
        <v>5.5231620501779094E-3</v>
      </c>
      <c r="S192" s="533">
        <f t="shared" si="44"/>
        <v>7.1801106652312821E-4</v>
      </c>
      <c r="T192" s="532">
        <f t="shared" si="45"/>
        <v>183.41503696000004</v>
      </c>
      <c r="U192" s="534">
        <f t="shared" si="46"/>
        <v>5.1157584687955239E-3</v>
      </c>
      <c r="V192" s="533">
        <f t="shared" si="47"/>
        <v>7.3564606781279635E-4</v>
      </c>
      <c r="W192" s="533"/>
      <c r="X192" s="535">
        <v>0.13807</v>
      </c>
      <c r="Y192" s="535">
        <v>0.13</v>
      </c>
      <c r="Z192" s="535">
        <v>0.14380000000000001</v>
      </c>
    </row>
    <row r="193" spans="1:26" ht="14.5">
      <c r="A193" s="509">
        <v>189</v>
      </c>
      <c r="B193" s="524" t="s">
        <v>1330</v>
      </c>
      <c r="C193" s="525" t="s">
        <v>1331</v>
      </c>
      <c r="D193" s="526">
        <v>34.57</v>
      </c>
      <c r="E193" s="527">
        <v>1.1599999999999999</v>
      </c>
      <c r="F193" s="101">
        <f t="shared" si="32"/>
        <v>3.3555105582875326E-2</v>
      </c>
      <c r="G193" s="102">
        <f t="shared" si="33"/>
        <v>7.5199999999999989E-2</v>
      </c>
      <c r="H193" s="102">
        <f t="shared" si="34"/>
        <v>7.0000000000000007E-2</v>
      </c>
      <c r="I193" s="102">
        <f t="shared" si="35"/>
        <v>5.5500000000000001E-2</v>
      </c>
      <c r="J193" s="528">
        <v>612.88400000000001</v>
      </c>
      <c r="K193" s="529">
        <f t="shared" si="36"/>
        <v>21.187399880000001</v>
      </c>
      <c r="L193" s="530">
        <f t="shared" si="37"/>
        <v>5.1980481706644696E-4</v>
      </c>
      <c r="M193" s="531">
        <f t="shared" si="38"/>
        <v>1.7442105519151824E-5</v>
      </c>
      <c r="N193" s="532">
        <f t="shared" si="39"/>
        <v>21.187399880000001</v>
      </c>
      <c r="O193" s="533">
        <f t="shared" si="40"/>
        <v>6.3287452120708765E-4</v>
      </c>
      <c r="P193" s="533">
        <f t="shared" si="41"/>
        <v>4.7592163994772983E-5</v>
      </c>
      <c r="Q193" s="532">
        <f t="shared" si="42"/>
        <v>21.187399880000001</v>
      </c>
      <c r="R193" s="534">
        <f t="shared" si="43"/>
        <v>6.3801444471905835E-4</v>
      </c>
      <c r="S193" s="533">
        <f t="shared" si="44"/>
        <v>4.4661011130334086E-5</v>
      </c>
      <c r="T193" s="532">
        <f t="shared" si="45"/>
        <v>21.187399880000001</v>
      </c>
      <c r="U193" s="534">
        <f t="shared" si="46"/>
        <v>5.9095274937302636E-4</v>
      </c>
      <c r="V193" s="533">
        <f t="shared" si="47"/>
        <v>3.2797877590202966E-5</v>
      </c>
      <c r="W193" s="533"/>
      <c r="X193" s="535">
        <v>7.5199999999999989E-2</v>
      </c>
      <c r="Y193" s="535">
        <v>7.0000000000000007E-2</v>
      </c>
      <c r="Z193" s="535">
        <v>5.5500000000000001E-2</v>
      </c>
    </row>
    <row r="194" spans="1:26" ht="14.5">
      <c r="A194" s="509">
        <v>190</v>
      </c>
      <c r="B194" s="524" t="s">
        <v>1332</v>
      </c>
      <c r="C194" s="525" t="s">
        <v>848</v>
      </c>
      <c r="D194" s="526">
        <v>44.92</v>
      </c>
      <c r="E194" s="527">
        <v>1.85</v>
      </c>
      <c r="F194" s="101">
        <f t="shared" ref="F194:F257" si="48">E194/D194</f>
        <v>4.118432769367765E-2</v>
      </c>
      <c r="G194" s="102" t="str">
        <f t="shared" si="33"/>
        <v>NMF</v>
      </c>
      <c r="H194" s="102">
        <f t="shared" si="34"/>
        <v>0.155</v>
      </c>
      <c r="I194" s="102" t="str">
        <f t="shared" si="35"/>
        <v>NMF</v>
      </c>
      <c r="J194" s="528">
        <v>527.87599999999998</v>
      </c>
      <c r="K194" s="529">
        <f t="shared" ref="K194:K257" si="49">J194*D194/1000</f>
        <v>23.71218992</v>
      </c>
      <c r="L194" s="530">
        <f t="shared" si="37"/>
        <v>5.817471994402386E-4</v>
      </c>
      <c r="M194" s="531">
        <f t="shared" ref="M194:M257" si="50">F194*L194</f>
        <v>2.3958867296626034E-5</v>
      </c>
      <c r="N194" s="532" t="str">
        <f t="shared" ref="N194:N257" si="51">IF(G194="n/a","--",IF(G194="NMF","--",$K194))</f>
        <v>--</v>
      </c>
      <c r="O194" s="533" t="str">
        <f t="shared" si="40"/>
        <v>--</v>
      </c>
      <c r="P194" s="533" t="str">
        <f t="shared" ref="P194:P257" si="52">IF(O194="--","--",G194*O194)</f>
        <v>--</v>
      </c>
      <c r="Q194" s="532">
        <f t="shared" ref="Q194:Q257" si="53">IF(H194="n/a","--",IF(H194="NMF","--",$K194))</f>
        <v>23.71218992</v>
      </c>
      <c r="R194" s="534">
        <f t="shared" si="43"/>
        <v>7.1404324129278917E-4</v>
      </c>
      <c r="S194" s="533">
        <f t="shared" ref="S194:S257" si="54">IF(R194="--","--",H194*R194)</f>
        <v>1.1067670240038232E-4</v>
      </c>
      <c r="T194" s="532" t="str">
        <f t="shared" ref="T194:T257" si="55">IF(I194="n/a","--",IF(I194="NMF","--",$K194))</f>
        <v>--</v>
      </c>
      <c r="U194" s="534" t="str">
        <f t="shared" si="46"/>
        <v>--</v>
      </c>
      <c r="V194" s="533" t="str">
        <f t="shared" ref="V194:V257" si="56">IF(U194="--","--",I194*U194)</f>
        <v>--</v>
      </c>
      <c r="W194" s="533"/>
      <c r="X194" s="535">
        <v>0.54400000000000004</v>
      </c>
      <c r="Y194" s="535">
        <v>0.155</v>
      </c>
      <c r="Z194" s="535">
        <v>0.54449999999999998</v>
      </c>
    </row>
    <row r="195" spans="1:26" ht="14.5">
      <c r="A195" s="509">
        <v>191</v>
      </c>
      <c r="B195" s="524" t="s">
        <v>849</v>
      </c>
      <c r="C195" s="525" t="s">
        <v>850</v>
      </c>
      <c r="D195" s="526">
        <v>25.24</v>
      </c>
      <c r="E195" s="527">
        <v>1.32</v>
      </c>
      <c r="F195" s="101">
        <f t="shared" si="48"/>
        <v>5.2297939778129958E-2</v>
      </c>
      <c r="G195" s="102">
        <f t="shared" si="33"/>
        <v>4.5999999999999999E-2</v>
      </c>
      <c r="H195" s="102">
        <f t="shared" si="34"/>
        <v>0.08</v>
      </c>
      <c r="I195" s="102" t="str">
        <f t="shared" si="35"/>
        <v>NMF</v>
      </c>
      <c r="J195" s="528">
        <v>369.73500000000001</v>
      </c>
      <c r="K195" s="529">
        <f t="shared" si="49"/>
        <v>9.3321114000000005</v>
      </c>
      <c r="L195" s="530">
        <f t="shared" si="37"/>
        <v>2.2895100326584785E-4</v>
      </c>
      <c r="M195" s="531">
        <f t="shared" si="50"/>
        <v>1.1973665780939747E-5</v>
      </c>
      <c r="N195" s="532">
        <f t="shared" si="51"/>
        <v>9.3321114000000005</v>
      </c>
      <c r="O195" s="533">
        <f t="shared" si="40"/>
        <v>2.7875320084468075E-4</v>
      </c>
      <c r="P195" s="533">
        <f t="shared" si="52"/>
        <v>1.2822647238855314E-5</v>
      </c>
      <c r="Q195" s="532">
        <f t="shared" si="53"/>
        <v>9.3321114000000005</v>
      </c>
      <c r="R195" s="534">
        <f t="shared" si="43"/>
        <v>2.81017109539134E-4</v>
      </c>
      <c r="S195" s="533">
        <f t="shared" si="54"/>
        <v>2.2481368763130719E-5</v>
      </c>
      <c r="T195" s="532" t="str">
        <f t="shared" si="55"/>
        <v>--</v>
      </c>
      <c r="U195" s="534" t="str">
        <f t="shared" si="46"/>
        <v>--</v>
      </c>
      <c r="V195" s="533" t="str">
        <f t="shared" si="56"/>
        <v>--</v>
      </c>
      <c r="W195" s="533"/>
      <c r="X195" s="535">
        <v>4.5999999999999999E-2</v>
      </c>
      <c r="Y195" s="535">
        <v>0.08</v>
      </c>
      <c r="Z195" s="535" t="s">
        <v>36</v>
      </c>
    </row>
    <row r="196" spans="1:26" ht="14.5">
      <c r="A196" s="509">
        <v>192</v>
      </c>
      <c r="B196" s="524" t="s">
        <v>851</v>
      </c>
      <c r="C196" s="525" t="s">
        <v>852</v>
      </c>
      <c r="D196" s="526">
        <v>79.23</v>
      </c>
      <c r="E196" s="527">
        <v>0.08</v>
      </c>
      <c r="F196" s="101">
        <f t="shared" si="48"/>
        <v>1.0097185409567082E-3</v>
      </c>
      <c r="G196" s="102">
        <f t="shared" si="33"/>
        <v>7.2950000000000001E-2</v>
      </c>
      <c r="H196" s="102">
        <f t="shared" si="34"/>
        <v>8.5000000000000006E-2</v>
      </c>
      <c r="I196" s="102">
        <f t="shared" si="35"/>
        <v>7.7899999999999997E-2</v>
      </c>
      <c r="J196" s="528">
        <v>403.46300000000002</v>
      </c>
      <c r="K196" s="529">
        <f t="shared" si="49"/>
        <v>31.966373490000002</v>
      </c>
      <c r="L196" s="530">
        <f t="shared" si="37"/>
        <v>7.8425266990558027E-4</v>
      </c>
      <c r="M196" s="531">
        <f t="shared" si="50"/>
        <v>7.918744615984654E-7</v>
      </c>
      <c r="N196" s="532">
        <f t="shared" si="51"/>
        <v>31.966373490000002</v>
      </c>
      <c r="O196" s="533">
        <f t="shared" si="40"/>
        <v>9.5484596655522644E-4</v>
      </c>
      <c r="P196" s="533">
        <f t="shared" si="52"/>
        <v>6.9656013260203765E-5</v>
      </c>
      <c r="Q196" s="532">
        <f t="shared" si="53"/>
        <v>31.966373490000002</v>
      </c>
      <c r="R196" s="534">
        <f t="shared" si="43"/>
        <v>9.626007979939245E-4</v>
      </c>
      <c r="S196" s="533">
        <f t="shared" si="54"/>
        <v>8.1821067829483595E-5</v>
      </c>
      <c r="T196" s="532">
        <f t="shared" si="55"/>
        <v>31.966373490000002</v>
      </c>
      <c r="U196" s="534">
        <f t="shared" si="46"/>
        <v>8.9159672297649218E-4</v>
      </c>
      <c r="V196" s="533">
        <f t="shared" si="56"/>
        <v>6.9455384719868733E-5</v>
      </c>
      <c r="W196" s="533"/>
      <c r="X196" s="535">
        <v>7.2950000000000001E-2</v>
      </c>
      <c r="Y196" s="535">
        <v>8.5000000000000006E-2</v>
      </c>
      <c r="Z196" s="535">
        <v>7.7899999999999997E-2</v>
      </c>
    </row>
    <row r="197" spans="1:26" ht="14.5">
      <c r="A197" s="509">
        <v>193</v>
      </c>
      <c r="B197" s="524" t="s">
        <v>853</v>
      </c>
      <c r="C197" s="525" t="s">
        <v>854</v>
      </c>
      <c r="D197" s="526">
        <v>96.74</v>
      </c>
      <c r="E197" s="527">
        <v>3.14</v>
      </c>
      <c r="F197" s="101">
        <f t="shared" si="48"/>
        <v>3.2458135207773416E-2</v>
      </c>
      <c r="G197" s="102" t="str">
        <f t="shared" ref="G197:G260" si="57">IF(AND(X197&gt;=$F$423,X197&lt;=$F$424),X197,"NMF")</f>
        <v>NMF</v>
      </c>
      <c r="H197" s="102">
        <f t="shared" ref="H197:H260" si="58">IF(AND(Y197&gt;=$F$423,Y197&lt;=$F$424),Y197,"NMF")</f>
        <v>3.5000000000000003E-2</v>
      </c>
      <c r="I197" s="102" t="str">
        <f t="shared" ref="I197:I260" si="59">IF(AND(Z197&gt;=$F$423,Z197&lt;=$F$424),Z197,"NMF")</f>
        <v>NMF</v>
      </c>
      <c r="J197" s="528">
        <v>294.96800000000002</v>
      </c>
      <c r="K197" s="529">
        <f t="shared" si="49"/>
        <v>28.535204320000002</v>
      </c>
      <c r="L197" s="530">
        <f t="shared" ref="L197:L260" si="60">K197/K$408</f>
        <v>7.0007347506159819E-4</v>
      </c>
      <c r="M197" s="531">
        <f t="shared" si="50"/>
        <v>2.2723079508925145E-5</v>
      </c>
      <c r="N197" s="532" t="str">
        <f t="shared" si="51"/>
        <v>--</v>
      </c>
      <c r="O197" s="533" t="str">
        <f t="shared" ref="O197:O260" si="61">IF(N197="--","--",N197/N$408)</f>
        <v>--</v>
      </c>
      <c r="P197" s="533" t="str">
        <f t="shared" si="52"/>
        <v>--</v>
      </c>
      <c r="Q197" s="532">
        <f t="shared" si="53"/>
        <v>28.535204320000002</v>
      </c>
      <c r="R197" s="534">
        <f t="shared" ref="R197:R260" si="62">IF(Q197="--","--",Q197/Q$408)</f>
        <v>8.5927828059521557E-4</v>
      </c>
      <c r="S197" s="533">
        <f t="shared" si="54"/>
        <v>3.0074739820832546E-5</v>
      </c>
      <c r="T197" s="532" t="str">
        <f t="shared" si="55"/>
        <v>--</v>
      </c>
      <c r="U197" s="534" t="str">
        <f t="shared" ref="U197:U260" si="63">IF(T197="--","--",T197/T$408)</f>
        <v>--</v>
      </c>
      <c r="V197" s="533" t="str">
        <f t="shared" si="56"/>
        <v>--</v>
      </c>
      <c r="W197" s="533"/>
      <c r="X197" s="535" t="s">
        <v>36</v>
      </c>
      <c r="Y197" s="535">
        <v>3.5000000000000003E-2</v>
      </c>
      <c r="Z197" s="535" t="s">
        <v>36</v>
      </c>
    </row>
    <row r="198" spans="1:26" ht="14.5">
      <c r="A198" s="509">
        <v>194</v>
      </c>
      <c r="B198" s="524" t="s">
        <v>855</v>
      </c>
      <c r="C198" s="525" t="s">
        <v>856</v>
      </c>
      <c r="D198" s="526">
        <v>243.09</v>
      </c>
      <c r="E198" s="527">
        <v>6</v>
      </c>
      <c r="F198" s="101">
        <f t="shared" si="48"/>
        <v>2.4682216463038382E-2</v>
      </c>
      <c r="G198" s="102">
        <f t="shared" si="57"/>
        <v>1.7749999999999998E-2</v>
      </c>
      <c r="H198" s="102">
        <f t="shared" si="58"/>
        <v>6.5000000000000002E-2</v>
      </c>
      <c r="I198" s="102">
        <f t="shared" si="59"/>
        <v>4.1900000000000007E-2</v>
      </c>
      <c r="J198" s="528">
        <v>293</v>
      </c>
      <c r="K198" s="529">
        <f t="shared" si="49"/>
        <v>71.225369999999998</v>
      </c>
      <c r="L198" s="530">
        <f t="shared" si="60"/>
        <v>1.7474201946926203E-3</v>
      </c>
      <c r="M198" s="531">
        <f t="shared" si="50"/>
        <v>4.3130203497287925E-5</v>
      </c>
      <c r="N198" s="532">
        <f t="shared" si="51"/>
        <v>71.225369999999998</v>
      </c>
      <c r="O198" s="533">
        <f t="shared" si="61"/>
        <v>2.1275249531254735E-3</v>
      </c>
      <c r="P198" s="533">
        <f t="shared" si="52"/>
        <v>3.7763567917977149E-5</v>
      </c>
      <c r="Q198" s="532">
        <f t="shared" si="53"/>
        <v>71.225369999999998</v>
      </c>
      <c r="R198" s="534">
        <f t="shared" si="62"/>
        <v>2.1448037582636817E-3</v>
      </c>
      <c r="S198" s="533">
        <f t="shared" si="54"/>
        <v>1.3941224428713932E-4</v>
      </c>
      <c r="T198" s="532">
        <f t="shared" si="55"/>
        <v>71.225369999999998</v>
      </c>
      <c r="U198" s="534">
        <f t="shared" si="63"/>
        <v>1.9865971504291571E-3</v>
      </c>
      <c r="V198" s="533">
        <f t="shared" si="56"/>
        <v>8.3238420602981688E-5</v>
      </c>
      <c r="W198" s="533"/>
      <c r="X198" s="535">
        <v>1.7749999999999998E-2</v>
      </c>
      <c r="Y198" s="535">
        <v>6.5000000000000002E-2</v>
      </c>
      <c r="Z198" s="535">
        <v>4.1900000000000007E-2</v>
      </c>
    </row>
    <row r="199" spans="1:26" ht="14.5">
      <c r="A199" s="509">
        <v>195</v>
      </c>
      <c r="B199" s="524" t="s">
        <v>857</v>
      </c>
      <c r="C199" s="525" t="s">
        <v>858</v>
      </c>
      <c r="D199" s="526">
        <v>14.75</v>
      </c>
      <c r="E199" s="527">
        <v>0.84</v>
      </c>
      <c r="F199" s="101">
        <f t="shared" si="48"/>
        <v>5.6949152542372879E-2</v>
      </c>
      <c r="G199" s="102">
        <f t="shared" si="57"/>
        <v>6.8170000000000008E-2</v>
      </c>
      <c r="H199" s="102" t="str">
        <f t="shared" si="58"/>
        <v>NMF</v>
      </c>
      <c r="I199" s="102">
        <f t="shared" si="59"/>
        <v>5.6100000000000004E-2</v>
      </c>
      <c r="J199" s="528">
        <v>447.55599999999998</v>
      </c>
      <c r="K199" s="529">
        <f t="shared" si="49"/>
        <v>6.601451</v>
      </c>
      <c r="L199" s="530">
        <f t="shared" si="60"/>
        <v>1.619578640542519E-4</v>
      </c>
      <c r="M199" s="531">
        <f t="shared" si="50"/>
        <v>9.2233631054624808E-6</v>
      </c>
      <c r="N199" s="532">
        <f t="shared" si="51"/>
        <v>6.601451</v>
      </c>
      <c r="O199" s="533">
        <f t="shared" si="61"/>
        <v>1.9718748711779397E-4</v>
      </c>
      <c r="P199" s="533">
        <f t="shared" si="52"/>
        <v>1.3442270996820017E-5</v>
      </c>
      <c r="Q199" s="532" t="str">
        <f t="shared" si="53"/>
        <v>--</v>
      </c>
      <c r="R199" s="534" t="str">
        <f t="shared" si="62"/>
        <v>--</v>
      </c>
      <c r="S199" s="533" t="str">
        <f t="shared" si="54"/>
        <v>--</v>
      </c>
      <c r="T199" s="532">
        <f t="shared" si="55"/>
        <v>6.601451</v>
      </c>
      <c r="U199" s="534">
        <f t="shared" si="63"/>
        <v>1.8412573701333823E-4</v>
      </c>
      <c r="V199" s="533">
        <f t="shared" si="56"/>
        <v>1.0329453846448276E-5</v>
      </c>
      <c r="W199" s="533"/>
      <c r="X199" s="535">
        <v>6.8170000000000008E-2</v>
      </c>
      <c r="Y199" s="535">
        <v>0.23</v>
      </c>
      <c r="Z199" s="535">
        <v>5.6100000000000004E-2</v>
      </c>
    </row>
    <row r="200" spans="1:26" ht="14.5">
      <c r="A200" s="509">
        <v>196</v>
      </c>
      <c r="B200" s="524" t="s">
        <v>859</v>
      </c>
      <c r="C200" s="525" t="s">
        <v>860</v>
      </c>
      <c r="D200" s="526">
        <v>122.95</v>
      </c>
      <c r="E200" s="527">
        <v>1.28</v>
      </c>
      <c r="F200" s="101">
        <f t="shared" si="48"/>
        <v>1.041073607157381E-2</v>
      </c>
      <c r="G200" s="102">
        <f t="shared" si="57"/>
        <v>0.11199999999999999</v>
      </c>
      <c r="H200" s="102">
        <f t="shared" si="58"/>
        <v>7.4999999999999997E-2</v>
      </c>
      <c r="I200" s="102">
        <f t="shared" si="59"/>
        <v>0.111</v>
      </c>
      <c r="J200" s="528">
        <v>120.15600000000001</v>
      </c>
      <c r="K200" s="529">
        <f t="shared" si="49"/>
        <v>14.773180200000001</v>
      </c>
      <c r="L200" s="530">
        <f t="shared" si="60"/>
        <v>3.6244042567013923E-4</v>
      </c>
      <c r="M200" s="531">
        <f t="shared" si="50"/>
        <v>3.7732716133206848E-6</v>
      </c>
      <c r="N200" s="532">
        <f t="shared" si="51"/>
        <v>14.773180200000001</v>
      </c>
      <c r="O200" s="533">
        <f t="shared" si="61"/>
        <v>4.412796944757068E-4</v>
      </c>
      <c r="P200" s="533">
        <f t="shared" si="52"/>
        <v>4.9423325781279155E-5</v>
      </c>
      <c r="Q200" s="532">
        <f t="shared" si="53"/>
        <v>14.773180200000001</v>
      </c>
      <c r="R200" s="534">
        <f t="shared" si="62"/>
        <v>4.448635705854053E-4</v>
      </c>
      <c r="S200" s="533">
        <f t="shared" si="54"/>
        <v>3.3364767793905393E-5</v>
      </c>
      <c r="T200" s="532">
        <f t="shared" si="55"/>
        <v>14.773180200000001</v>
      </c>
      <c r="U200" s="534">
        <f t="shared" si="63"/>
        <v>4.1204921347683343E-4</v>
      </c>
      <c r="V200" s="533">
        <f t="shared" si="56"/>
        <v>4.5737462695928514E-5</v>
      </c>
      <c r="W200" s="533"/>
      <c r="X200" s="535">
        <v>0.11199999999999999</v>
      </c>
      <c r="Y200" s="535">
        <v>7.4999999999999997E-2</v>
      </c>
      <c r="Z200" s="535">
        <v>0.111</v>
      </c>
    </row>
    <row r="201" spans="1:26" ht="14.5">
      <c r="A201" s="509">
        <v>197</v>
      </c>
      <c r="B201" s="524" t="s">
        <v>861</v>
      </c>
      <c r="C201" s="525" t="s">
        <v>862</v>
      </c>
      <c r="D201" s="526">
        <v>137.47999999999999</v>
      </c>
      <c r="E201" s="527">
        <v>1.78</v>
      </c>
      <c r="F201" s="101">
        <f t="shared" si="48"/>
        <v>1.2947337794588305E-2</v>
      </c>
      <c r="G201" s="102">
        <f t="shared" si="57"/>
        <v>0.1381</v>
      </c>
      <c r="H201" s="102">
        <f t="shared" si="58"/>
        <v>0.06</v>
      </c>
      <c r="I201" s="102">
        <f t="shared" si="59"/>
        <v>0.1285</v>
      </c>
      <c r="J201" s="528">
        <v>99.194999999999993</v>
      </c>
      <c r="K201" s="529">
        <f t="shared" si="49"/>
        <v>13.637328599999998</v>
      </c>
      <c r="L201" s="530">
        <f t="shared" si="60"/>
        <v>3.345738098278638E-4</v>
      </c>
      <c r="M201" s="531">
        <f t="shared" si="50"/>
        <v>4.3318401330637007E-6</v>
      </c>
      <c r="N201" s="532">
        <f t="shared" si="51"/>
        <v>13.637328599999998</v>
      </c>
      <c r="O201" s="533">
        <f t="shared" si="61"/>
        <v>4.0735143798441027E-4</v>
      </c>
      <c r="P201" s="533">
        <f t="shared" si="52"/>
        <v>5.6255233585647057E-5</v>
      </c>
      <c r="Q201" s="532">
        <f t="shared" si="53"/>
        <v>13.637328599999998</v>
      </c>
      <c r="R201" s="534">
        <f t="shared" si="62"/>
        <v>4.1065976398517537E-4</v>
      </c>
      <c r="S201" s="533">
        <f t="shared" si="54"/>
        <v>2.4639585839110522E-5</v>
      </c>
      <c r="T201" s="532">
        <f t="shared" si="55"/>
        <v>13.637328599999998</v>
      </c>
      <c r="U201" s="534">
        <f t="shared" si="63"/>
        <v>3.8036837346336067E-4</v>
      </c>
      <c r="V201" s="533">
        <f t="shared" si="56"/>
        <v>4.8877335990041846E-5</v>
      </c>
      <c r="W201" s="533"/>
      <c r="X201" s="535">
        <v>0.1381</v>
      </c>
      <c r="Y201" s="535">
        <v>0.06</v>
      </c>
      <c r="Z201" s="535">
        <v>0.1285</v>
      </c>
    </row>
    <row r="202" spans="1:26" ht="14.5">
      <c r="A202" s="509">
        <v>198</v>
      </c>
      <c r="B202" s="524" t="s">
        <v>863</v>
      </c>
      <c r="C202" s="525" t="s">
        <v>864</v>
      </c>
      <c r="D202" s="526">
        <v>154.4</v>
      </c>
      <c r="E202" s="527">
        <v>0.32</v>
      </c>
      <c r="F202" s="101">
        <f t="shared" si="48"/>
        <v>2.0725388601036268E-3</v>
      </c>
      <c r="G202" s="102">
        <f t="shared" si="57"/>
        <v>0.13250000000000001</v>
      </c>
      <c r="H202" s="102">
        <f t="shared" si="58"/>
        <v>0.115</v>
      </c>
      <c r="I202" s="102">
        <f t="shared" si="59"/>
        <v>0.12520000000000001</v>
      </c>
      <c r="J202" s="528">
        <v>107.345</v>
      </c>
      <c r="K202" s="529">
        <f t="shared" si="49"/>
        <v>16.574068</v>
      </c>
      <c r="L202" s="530">
        <f t="shared" si="60"/>
        <v>4.0662282458355398E-4</v>
      </c>
      <c r="M202" s="531">
        <f t="shared" si="50"/>
        <v>8.4274160535451594E-7</v>
      </c>
      <c r="N202" s="532">
        <f t="shared" si="51"/>
        <v>16.574068</v>
      </c>
      <c r="O202" s="533">
        <f t="shared" si="61"/>
        <v>4.9507279842559489E-4</v>
      </c>
      <c r="P202" s="533">
        <f t="shared" si="52"/>
        <v>6.5597145791391332E-5</v>
      </c>
      <c r="Q202" s="532">
        <f t="shared" si="53"/>
        <v>16.574068</v>
      </c>
      <c r="R202" s="534">
        <f t="shared" si="62"/>
        <v>4.9909355804143699E-4</v>
      </c>
      <c r="S202" s="533">
        <f t="shared" si="54"/>
        <v>5.7395759174765257E-5</v>
      </c>
      <c r="T202" s="532">
        <f t="shared" si="55"/>
        <v>16.574068</v>
      </c>
      <c r="U202" s="534">
        <f t="shared" si="63"/>
        <v>4.6227904831970805E-4</v>
      </c>
      <c r="V202" s="533">
        <f t="shared" si="56"/>
        <v>5.7877336849627451E-5</v>
      </c>
      <c r="W202" s="533"/>
      <c r="X202" s="535">
        <v>0.13250000000000001</v>
      </c>
      <c r="Y202" s="535">
        <v>0.115</v>
      </c>
      <c r="Z202" s="535">
        <v>0.12520000000000001</v>
      </c>
    </row>
    <row r="203" spans="1:26" ht="14.5">
      <c r="A203" s="509">
        <v>199</v>
      </c>
      <c r="B203" s="524" t="s">
        <v>865</v>
      </c>
      <c r="C203" s="525" t="s">
        <v>866</v>
      </c>
      <c r="D203" s="526">
        <v>91.24</v>
      </c>
      <c r="E203" s="527">
        <v>1.48</v>
      </c>
      <c r="F203" s="101">
        <f t="shared" si="48"/>
        <v>1.6220955721174924E-2</v>
      </c>
      <c r="G203" s="102">
        <f t="shared" si="57"/>
        <v>0.14529999999999998</v>
      </c>
      <c r="H203" s="102">
        <f t="shared" si="58"/>
        <v>0.115</v>
      </c>
      <c r="I203" s="102">
        <f t="shared" si="59"/>
        <v>0.12230000000000001</v>
      </c>
      <c r="J203" s="528">
        <v>660.13900000000001</v>
      </c>
      <c r="K203" s="529">
        <f t="shared" si="49"/>
        <v>60.231082360000002</v>
      </c>
      <c r="L203" s="530">
        <f t="shared" si="60"/>
        <v>1.4776898970698003E-3</v>
      </c>
      <c r="M203" s="531">
        <f t="shared" si="50"/>
        <v>2.3969542389996761E-5</v>
      </c>
      <c r="N203" s="532">
        <f t="shared" si="51"/>
        <v>60.231082360000002</v>
      </c>
      <c r="O203" s="533">
        <f t="shared" si="61"/>
        <v>1.7991220077151658E-3</v>
      </c>
      <c r="P203" s="533">
        <f t="shared" si="52"/>
        <v>2.6141242772101354E-4</v>
      </c>
      <c r="Q203" s="532">
        <f t="shared" si="53"/>
        <v>60.231082360000002</v>
      </c>
      <c r="R203" s="534">
        <f t="shared" si="62"/>
        <v>1.8137336711626397E-3</v>
      </c>
      <c r="S203" s="533">
        <f t="shared" si="54"/>
        <v>2.0857937218370356E-4</v>
      </c>
      <c r="T203" s="532">
        <f t="shared" si="55"/>
        <v>60.231082360000002</v>
      </c>
      <c r="U203" s="534">
        <f t="shared" si="63"/>
        <v>1.6799477009896879E-3</v>
      </c>
      <c r="V203" s="533">
        <f t="shared" si="56"/>
        <v>2.0545760383103884E-4</v>
      </c>
      <c r="W203" s="533"/>
      <c r="X203" s="535">
        <v>0.14529999999999998</v>
      </c>
      <c r="Y203" s="535">
        <v>0.115</v>
      </c>
      <c r="Z203" s="535">
        <v>0.12230000000000001</v>
      </c>
    </row>
    <row r="204" spans="1:26" ht="14.5">
      <c r="A204" s="509">
        <v>200</v>
      </c>
      <c r="B204" s="524" t="s">
        <v>867</v>
      </c>
      <c r="C204" s="525" t="s">
        <v>868</v>
      </c>
      <c r="D204" s="526">
        <v>179.42</v>
      </c>
      <c r="E204" s="527">
        <v>2.35</v>
      </c>
      <c r="F204" s="101">
        <f t="shared" si="48"/>
        <v>1.3097759447107348E-2</v>
      </c>
      <c r="G204" s="102">
        <f t="shared" si="57"/>
        <v>9.4E-2</v>
      </c>
      <c r="H204" s="102">
        <f t="shared" si="58"/>
        <v>5.5E-2</v>
      </c>
      <c r="I204" s="102">
        <f t="shared" si="59"/>
        <v>8.6300000000000002E-2</v>
      </c>
      <c r="J204" s="528">
        <v>72.897999999999996</v>
      </c>
      <c r="K204" s="529">
        <f t="shared" si="49"/>
        <v>13.079359159999997</v>
      </c>
      <c r="L204" s="530">
        <f t="shared" si="60"/>
        <v>3.208847680232746E-4</v>
      </c>
      <c r="M204" s="531">
        <f t="shared" si="50"/>
        <v>4.2028715018096948E-6</v>
      </c>
      <c r="N204" s="532">
        <f t="shared" si="51"/>
        <v>13.079359159999997</v>
      </c>
      <c r="O204" s="533">
        <f t="shared" si="61"/>
        <v>3.9068470944819559E-4</v>
      </c>
      <c r="P204" s="533">
        <f t="shared" si="52"/>
        <v>3.6724362688130386E-5</v>
      </c>
      <c r="Q204" s="532">
        <f t="shared" si="53"/>
        <v>13.079359159999997</v>
      </c>
      <c r="R204" s="534">
        <f t="shared" si="62"/>
        <v>3.9385767574178279E-4</v>
      </c>
      <c r="S204" s="533">
        <f t="shared" si="54"/>
        <v>2.1662172165798054E-5</v>
      </c>
      <c r="T204" s="532">
        <f t="shared" si="55"/>
        <v>13.079359159999997</v>
      </c>
      <c r="U204" s="534">
        <f t="shared" si="63"/>
        <v>3.648056533324501E-4</v>
      </c>
      <c r="V204" s="533">
        <f t="shared" si="56"/>
        <v>3.1482727882590445E-5</v>
      </c>
      <c r="W204" s="533"/>
      <c r="X204" s="535">
        <v>9.4E-2</v>
      </c>
      <c r="Y204" s="535">
        <v>5.5E-2</v>
      </c>
      <c r="Z204" s="535">
        <v>8.6300000000000002E-2</v>
      </c>
    </row>
    <row r="205" spans="1:26" ht="14.5">
      <c r="A205" s="509">
        <v>201</v>
      </c>
      <c r="B205" s="524" t="s">
        <v>397</v>
      </c>
      <c r="C205" s="525" t="s">
        <v>398</v>
      </c>
      <c r="D205" s="526">
        <v>155.66</v>
      </c>
      <c r="E205" s="527">
        <v>5.2</v>
      </c>
      <c r="F205" s="101">
        <f t="shared" si="48"/>
        <v>3.3406141590646282E-2</v>
      </c>
      <c r="G205" s="102">
        <f t="shared" si="57"/>
        <v>5.2999999999999999E-2</v>
      </c>
      <c r="H205" s="102">
        <f t="shared" si="58"/>
        <v>4.4999999999999998E-2</v>
      </c>
      <c r="I205" s="102">
        <f t="shared" si="59"/>
        <v>6.2300000000000001E-2</v>
      </c>
      <c r="J205" s="528">
        <v>2406.0729999999999</v>
      </c>
      <c r="K205" s="529">
        <f t="shared" si="49"/>
        <v>374.52932317999995</v>
      </c>
      <c r="L205" s="530">
        <f t="shared" si="60"/>
        <v>9.1885812994624075E-3</v>
      </c>
      <c r="M205" s="531">
        <f t="shared" si="50"/>
        <v>3.0695504790700581E-4</v>
      </c>
      <c r="N205" s="532">
        <f t="shared" si="51"/>
        <v>374.52932317999995</v>
      </c>
      <c r="O205" s="533">
        <f t="shared" si="61"/>
        <v>1.1187312621087749E-2</v>
      </c>
      <c r="P205" s="533">
        <f t="shared" si="52"/>
        <v>5.9292756891765066E-4</v>
      </c>
      <c r="Q205" s="532">
        <f t="shared" si="53"/>
        <v>374.52932317999995</v>
      </c>
      <c r="R205" s="534">
        <f t="shared" si="62"/>
        <v>1.1278170965435728E-2</v>
      </c>
      <c r="S205" s="533">
        <f t="shared" si="54"/>
        <v>5.0751769344460781E-4</v>
      </c>
      <c r="T205" s="532">
        <f t="shared" si="55"/>
        <v>374.52932317999995</v>
      </c>
      <c r="U205" s="534">
        <f t="shared" si="63"/>
        <v>1.0446262142008512E-2</v>
      </c>
      <c r="V205" s="533">
        <f t="shared" si="56"/>
        <v>6.5080213144713033E-4</v>
      </c>
      <c r="W205" s="533"/>
      <c r="X205" s="535">
        <v>5.2999999999999999E-2</v>
      </c>
      <c r="Y205" s="535">
        <v>4.4999999999999998E-2</v>
      </c>
      <c r="Z205" s="535">
        <v>6.2300000000000001E-2</v>
      </c>
    </row>
    <row r="206" spans="1:26" ht="14.5">
      <c r="A206" s="509">
        <v>202</v>
      </c>
      <c r="B206" s="524" t="s">
        <v>869</v>
      </c>
      <c r="C206" s="525" t="s">
        <v>870</v>
      </c>
      <c r="D206" s="526">
        <v>36.299999999999997</v>
      </c>
      <c r="E206" s="527">
        <v>0.92</v>
      </c>
      <c r="F206" s="101">
        <f t="shared" si="48"/>
        <v>2.5344352617079891E-2</v>
      </c>
      <c r="G206" s="102">
        <f t="shared" si="57"/>
        <v>6.2E-2</v>
      </c>
      <c r="H206" s="102">
        <f t="shared" si="58"/>
        <v>7.0000000000000007E-2</v>
      </c>
      <c r="I206" s="102">
        <f t="shared" si="59"/>
        <v>0.12359999999999999</v>
      </c>
      <c r="J206" s="528">
        <v>334.27699999999999</v>
      </c>
      <c r="K206" s="529">
        <f t="shared" si="49"/>
        <v>12.134255099999999</v>
      </c>
      <c r="L206" s="530">
        <f t="shared" si="60"/>
        <v>2.9769789064334687E-4</v>
      </c>
      <c r="M206" s="531">
        <f t="shared" si="50"/>
        <v>7.5449603138258716E-6</v>
      </c>
      <c r="N206" s="532">
        <f t="shared" si="51"/>
        <v>12.134255099999999</v>
      </c>
      <c r="O206" s="533">
        <f t="shared" si="61"/>
        <v>3.6245414397763093E-4</v>
      </c>
      <c r="P206" s="533">
        <f t="shared" si="52"/>
        <v>2.2472156926613117E-5</v>
      </c>
      <c r="Q206" s="532">
        <f t="shared" si="53"/>
        <v>12.134255099999999</v>
      </c>
      <c r="R206" s="534">
        <f t="shared" si="62"/>
        <v>3.6539783425779669E-4</v>
      </c>
      <c r="S206" s="533">
        <f t="shared" si="54"/>
        <v>2.5577848398045772E-5</v>
      </c>
      <c r="T206" s="532">
        <f t="shared" si="55"/>
        <v>12.134255099999999</v>
      </c>
      <c r="U206" s="534">
        <f t="shared" si="63"/>
        <v>3.3844508781408179E-4</v>
      </c>
      <c r="V206" s="533">
        <f t="shared" si="56"/>
        <v>4.1831812853820508E-5</v>
      </c>
      <c r="W206" s="533"/>
      <c r="X206" s="535">
        <v>6.2E-2</v>
      </c>
      <c r="Y206" s="535">
        <v>7.0000000000000007E-2</v>
      </c>
      <c r="Z206" s="535">
        <v>0.12359999999999999</v>
      </c>
    </row>
    <row r="207" spans="1:26" ht="14.5">
      <c r="A207" s="509">
        <v>203</v>
      </c>
      <c r="B207" s="524" t="s">
        <v>871</v>
      </c>
      <c r="C207" s="525" t="s">
        <v>872</v>
      </c>
      <c r="D207" s="526">
        <v>253.47</v>
      </c>
      <c r="E207" s="527">
        <v>6.4</v>
      </c>
      <c r="F207" s="101">
        <f t="shared" si="48"/>
        <v>2.5249536434292029E-2</v>
      </c>
      <c r="G207" s="102">
        <f t="shared" si="57"/>
        <v>2.75E-2</v>
      </c>
      <c r="H207" s="102">
        <f t="shared" si="58"/>
        <v>0.08</v>
      </c>
      <c r="I207" s="102">
        <f t="shared" si="59"/>
        <v>4.7599999999999996E-2</v>
      </c>
      <c r="J207" s="528">
        <v>2779.0940000000001</v>
      </c>
      <c r="K207" s="529">
        <f t="shared" si="49"/>
        <v>704.41695617999994</v>
      </c>
      <c r="L207" s="530">
        <f t="shared" si="60"/>
        <v>1.7281937808295532E-2</v>
      </c>
      <c r="M207" s="531">
        <f t="shared" si="50"/>
        <v>4.3636091834572694E-4</v>
      </c>
      <c r="N207" s="532">
        <f t="shared" si="51"/>
        <v>704.41695617999994</v>
      </c>
      <c r="O207" s="533">
        <f t="shared" si="61"/>
        <v>2.1041163446081684E-2</v>
      </c>
      <c r="P207" s="533">
        <f t="shared" si="52"/>
        <v>5.7863199476724636E-4</v>
      </c>
      <c r="Q207" s="532">
        <f t="shared" si="53"/>
        <v>704.41695617999994</v>
      </c>
      <c r="R207" s="534">
        <f t="shared" si="62"/>
        <v>2.1212050355084531E-2</v>
      </c>
      <c r="S207" s="533">
        <f t="shared" si="54"/>
        <v>1.6969640284067624E-3</v>
      </c>
      <c r="T207" s="532">
        <f t="shared" si="55"/>
        <v>704.41695617999994</v>
      </c>
      <c r="U207" s="534">
        <f t="shared" si="63"/>
        <v>1.9647391341893604E-2</v>
      </c>
      <c r="V207" s="533">
        <f t="shared" si="56"/>
        <v>9.3521582787413544E-4</v>
      </c>
      <c r="W207" s="533"/>
      <c r="X207" s="535">
        <v>2.75E-2</v>
      </c>
      <c r="Y207" s="535">
        <v>0.08</v>
      </c>
      <c r="Z207" s="535">
        <v>4.7599999999999996E-2</v>
      </c>
    </row>
    <row r="208" spans="1:26" ht="14.5">
      <c r="A208" s="509">
        <v>204</v>
      </c>
      <c r="B208" s="524" t="s">
        <v>873</v>
      </c>
      <c r="C208" s="525" t="s">
        <v>874</v>
      </c>
      <c r="D208" s="526">
        <v>82.54</v>
      </c>
      <c r="E208" s="527">
        <v>2.2999999999999998</v>
      </c>
      <c r="F208" s="101">
        <f t="shared" si="48"/>
        <v>2.7865277441240607E-2</v>
      </c>
      <c r="G208" s="102">
        <f t="shared" si="57"/>
        <v>2.215E-2</v>
      </c>
      <c r="H208" s="102">
        <f t="shared" si="58"/>
        <v>4.4999999999999998E-2</v>
      </c>
      <c r="I208" s="102">
        <f t="shared" si="59"/>
        <v>5.0099999999999999E-2</v>
      </c>
      <c r="J208" s="528">
        <v>346.93900000000002</v>
      </c>
      <c r="K208" s="529">
        <f t="shared" si="49"/>
        <v>28.636345060000004</v>
      </c>
      <c r="L208" s="530">
        <f t="shared" si="60"/>
        <v>7.0255482926982705E-4</v>
      </c>
      <c r="M208" s="531">
        <f t="shared" si="50"/>
        <v>1.9576885235287156E-5</v>
      </c>
      <c r="N208" s="532">
        <f t="shared" si="51"/>
        <v>28.636345060000004</v>
      </c>
      <c r="O208" s="533">
        <f t="shared" si="61"/>
        <v>8.5537693495255117E-4</v>
      </c>
      <c r="P208" s="533">
        <f t="shared" si="52"/>
        <v>1.894659910919901E-5</v>
      </c>
      <c r="Q208" s="532">
        <f t="shared" si="53"/>
        <v>28.636345060000004</v>
      </c>
      <c r="R208" s="534">
        <f t="shared" si="62"/>
        <v>8.623239234506416E-4</v>
      </c>
      <c r="S208" s="533">
        <f t="shared" si="54"/>
        <v>3.8804576555278871E-5</v>
      </c>
      <c r="T208" s="532">
        <f t="shared" si="55"/>
        <v>28.636345060000004</v>
      </c>
      <c r="U208" s="534">
        <f t="shared" si="63"/>
        <v>7.9871654573225918E-4</v>
      </c>
      <c r="V208" s="533">
        <f t="shared" si="56"/>
        <v>4.001569894118618E-5</v>
      </c>
      <c r="W208" s="533"/>
      <c r="X208" s="535">
        <v>2.215E-2</v>
      </c>
      <c r="Y208" s="535">
        <v>4.4999999999999998E-2</v>
      </c>
      <c r="Z208" s="535">
        <v>5.0099999999999999E-2</v>
      </c>
    </row>
    <row r="209" spans="1:26" ht="14.5">
      <c r="A209" s="509">
        <v>205</v>
      </c>
      <c r="B209" s="524" t="s">
        <v>875</v>
      </c>
      <c r="C209" s="525" t="s">
        <v>876</v>
      </c>
      <c r="D209" s="526">
        <v>34.14</v>
      </c>
      <c r="E209" s="527">
        <v>0.95</v>
      </c>
      <c r="F209" s="101">
        <f t="shared" si="48"/>
        <v>2.7826596367896892E-2</v>
      </c>
      <c r="G209" s="102">
        <f t="shared" si="57"/>
        <v>6.4100000000000004E-2</v>
      </c>
      <c r="H209" s="102">
        <f t="shared" si="58"/>
        <v>0.12</v>
      </c>
      <c r="I209" s="102">
        <f t="shared" si="59"/>
        <v>6.3200000000000006E-2</v>
      </c>
      <c r="J209" s="528">
        <v>1358.194</v>
      </c>
      <c r="K209" s="529">
        <f t="shared" si="49"/>
        <v>46.368743160000001</v>
      </c>
      <c r="L209" s="530">
        <f t="shared" si="60"/>
        <v>1.1375957499455505E-3</v>
      </c>
      <c r="M209" s="531">
        <f t="shared" si="50"/>
        <v>3.1655417763569799E-5</v>
      </c>
      <c r="N209" s="532">
        <f t="shared" si="51"/>
        <v>46.368743160000001</v>
      </c>
      <c r="O209" s="533">
        <f t="shared" si="61"/>
        <v>1.3850494299708954E-3</v>
      </c>
      <c r="P209" s="533">
        <f t="shared" si="52"/>
        <v>8.8781668461134403E-5</v>
      </c>
      <c r="Q209" s="532">
        <f t="shared" si="53"/>
        <v>46.368743160000001</v>
      </c>
      <c r="R209" s="534">
        <f t="shared" si="62"/>
        <v>1.3962981813296497E-3</v>
      </c>
      <c r="S209" s="533">
        <f t="shared" si="54"/>
        <v>1.6755578175955794E-4</v>
      </c>
      <c r="T209" s="532">
        <f t="shared" si="55"/>
        <v>46.368743160000001</v>
      </c>
      <c r="U209" s="534">
        <f t="shared" si="63"/>
        <v>1.2933033978010571E-3</v>
      </c>
      <c r="V209" s="533">
        <f t="shared" si="56"/>
        <v>8.1736774741026817E-5</v>
      </c>
      <c r="W209" s="533"/>
      <c r="X209" s="535">
        <v>6.4100000000000004E-2</v>
      </c>
      <c r="Y209" s="535">
        <v>0.12</v>
      </c>
      <c r="Z209" s="535">
        <v>6.3200000000000006E-2</v>
      </c>
    </row>
    <row r="210" spans="1:26" ht="14.5">
      <c r="A210" s="509">
        <v>206</v>
      </c>
      <c r="B210" s="524" t="s">
        <v>877</v>
      </c>
      <c r="C210" s="525" t="s">
        <v>878</v>
      </c>
      <c r="D210" s="526">
        <v>15.57</v>
      </c>
      <c r="E210" s="527">
        <v>0.83</v>
      </c>
      <c r="F210" s="101">
        <f t="shared" si="48"/>
        <v>5.3307642903018621E-2</v>
      </c>
      <c r="G210" s="102" t="str">
        <f t="shared" si="57"/>
        <v>NMF</v>
      </c>
      <c r="H210" s="102" t="str">
        <f t="shared" si="58"/>
        <v>NMF</v>
      </c>
      <c r="I210" s="102">
        <f t="shared" si="59"/>
        <v>0.18590000000000001</v>
      </c>
      <c r="J210" s="528">
        <v>1095.942</v>
      </c>
      <c r="K210" s="529">
        <f t="shared" si="49"/>
        <v>17.063816940000002</v>
      </c>
      <c r="L210" s="530">
        <f t="shared" si="60"/>
        <v>4.1863816670231459E-4</v>
      </c>
      <c r="M210" s="531">
        <f t="shared" si="50"/>
        <v>2.2316613896141368E-5</v>
      </c>
      <c r="N210" s="532" t="str">
        <f t="shared" si="51"/>
        <v>--</v>
      </c>
      <c r="O210" s="533" t="str">
        <f t="shared" si="61"/>
        <v>--</v>
      </c>
      <c r="P210" s="533" t="str">
        <f t="shared" si="52"/>
        <v>--</v>
      </c>
      <c r="Q210" s="532" t="str">
        <f t="shared" si="53"/>
        <v>--</v>
      </c>
      <c r="R210" s="534" t="str">
        <f t="shared" si="62"/>
        <v>--</v>
      </c>
      <c r="S210" s="533" t="str">
        <f t="shared" si="54"/>
        <v>--</v>
      </c>
      <c r="T210" s="532">
        <f t="shared" si="55"/>
        <v>17.063816940000002</v>
      </c>
      <c r="U210" s="534">
        <f t="shared" si="63"/>
        <v>4.7593898225377823E-4</v>
      </c>
      <c r="V210" s="533">
        <f t="shared" si="56"/>
        <v>8.8477056800977374E-5</v>
      </c>
      <c r="W210" s="533"/>
      <c r="X210" s="535" t="s">
        <v>36</v>
      </c>
      <c r="Y210" s="535">
        <v>-1.4999999999999999E-2</v>
      </c>
      <c r="Z210" s="535">
        <v>0.18590000000000001</v>
      </c>
    </row>
    <row r="211" spans="1:26" ht="14.5">
      <c r="A211" s="509">
        <v>207</v>
      </c>
      <c r="B211" s="524" t="s">
        <v>879</v>
      </c>
      <c r="C211" s="525" t="s">
        <v>880</v>
      </c>
      <c r="D211" s="526">
        <v>28.49</v>
      </c>
      <c r="E211" s="527">
        <v>1.6</v>
      </c>
      <c r="F211" s="101">
        <f t="shared" si="48"/>
        <v>5.616005616005617E-2</v>
      </c>
      <c r="G211" s="102" t="str">
        <f t="shared" si="57"/>
        <v>NMF</v>
      </c>
      <c r="H211" s="102">
        <f t="shared" si="58"/>
        <v>4.4999999999999998E-2</v>
      </c>
      <c r="I211" s="102">
        <f t="shared" si="59"/>
        <v>3.3300000000000003E-2</v>
      </c>
      <c r="J211" s="528">
        <v>1183.5419999999999</v>
      </c>
      <c r="K211" s="529">
        <f t="shared" si="49"/>
        <v>33.719111579999996</v>
      </c>
      <c r="L211" s="530">
        <f t="shared" si="60"/>
        <v>8.272537794045265E-4</v>
      </c>
      <c r="M211" s="531">
        <f t="shared" si="50"/>
        <v>4.6458618709976923E-5</v>
      </c>
      <c r="N211" s="532" t="str">
        <f t="shared" si="51"/>
        <v>--</v>
      </c>
      <c r="O211" s="533" t="str">
        <f t="shared" si="61"/>
        <v>--</v>
      </c>
      <c r="P211" s="533" t="str">
        <f t="shared" si="52"/>
        <v>--</v>
      </c>
      <c r="Q211" s="532">
        <f t="shared" si="53"/>
        <v>33.719111579999996</v>
      </c>
      <c r="R211" s="534">
        <f t="shared" si="62"/>
        <v>1.0153808571594142E-3</v>
      </c>
      <c r="S211" s="533">
        <f t="shared" si="54"/>
        <v>4.5692138572173636E-5</v>
      </c>
      <c r="T211" s="532">
        <f t="shared" si="55"/>
        <v>33.719111579999996</v>
      </c>
      <c r="U211" s="534">
        <f t="shared" si="63"/>
        <v>9.4048358021630207E-4</v>
      </c>
      <c r="V211" s="533">
        <f t="shared" si="56"/>
        <v>3.131810322120286E-5</v>
      </c>
      <c r="W211" s="533"/>
      <c r="X211" s="535">
        <v>-3.1E-2</v>
      </c>
      <c r="Y211" s="535">
        <v>4.4999999999999998E-2</v>
      </c>
      <c r="Z211" s="535">
        <v>3.3300000000000003E-2</v>
      </c>
    </row>
    <row r="212" spans="1:26" ht="14.5">
      <c r="A212" s="509">
        <v>208</v>
      </c>
      <c r="B212" s="524" t="s">
        <v>881</v>
      </c>
      <c r="C212" s="525" t="s">
        <v>882</v>
      </c>
      <c r="D212" s="526">
        <v>20.68</v>
      </c>
      <c r="E212" s="527">
        <v>1.02</v>
      </c>
      <c r="F212" s="101">
        <f t="shared" si="48"/>
        <v>4.9323017408123795E-2</v>
      </c>
      <c r="G212" s="102">
        <f t="shared" si="57"/>
        <v>0.12890000000000001</v>
      </c>
      <c r="H212" s="102" t="str">
        <f t="shared" si="58"/>
        <v>NMF</v>
      </c>
      <c r="I212" s="102">
        <f t="shared" si="59"/>
        <v>8.1500000000000003E-2</v>
      </c>
      <c r="J212" s="528">
        <v>676.49599999999998</v>
      </c>
      <c r="K212" s="529">
        <f t="shared" si="49"/>
        <v>13.989937279999999</v>
      </c>
      <c r="L212" s="530">
        <f t="shared" si="60"/>
        <v>3.4322459715625407E-4</v>
      </c>
      <c r="M212" s="531">
        <f t="shared" si="50"/>
        <v>1.6928872780434196E-5</v>
      </c>
      <c r="N212" s="532">
        <f t="shared" si="51"/>
        <v>13.989937279999999</v>
      </c>
      <c r="O212" s="533">
        <f t="shared" si="61"/>
        <v>4.1788397386858519E-4</v>
      </c>
      <c r="P212" s="533">
        <f t="shared" si="52"/>
        <v>5.3865244231660639E-5</v>
      </c>
      <c r="Q212" s="532" t="str">
        <f t="shared" si="53"/>
        <v>--</v>
      </c>
      <c r="R212" s="534" t="str">
        <f t="shared" si="62"/>
        <v>--</v>
      </c>
      <c r="S212" s="533" t="str">
        <f t="shared" si="54"/>
        <v>--</v>
      </c>
      <c r="T212" s="532">
        <f t="shared" si="55"/>
        <v>13.989937279999999</v>
      </c>
      <c r="U212" s="534">
        <f t="shared" si="63"/>
        <v>3.9020323144871885E-4</v>
      </c>
      <c r="V212" s="533">
        <f t="shared" si="56"/>
        <v>3.1801563363070586E-5</v>
      </c>
      <c r="W212" s="533"/>
      <c r="X212" s="535">
        <v>0.12890000000000001</v>
      </c>
      <c r="Y212" s="535">
        <v>0.27500000000000002</v>
      </c>
      <c r="Z212" s="535">
        <v>8.1500000000000003E-2</v>
      </c>
    </row>
    <row r="213" spans="1:26" ht="14.5">
      <c r="A213" s="509">
        <v>209</v>
      </c>
      <c r="B213" s="524" t="s">
        <v>1333</v>
      </c>
      <c r="C213" s="525" t="s">
        <v>1334</v>
      </c>
      <c r="D213" s="526">
        <v>118.73</v>
      </c>
      <c r="E213" s="527">
        <v>0.7</v>
      </c>
      <c r="F213" s="101">
        <f t="shared" si="48"/>
        <v>5.8957298071254096E-3</v>
      </c>
      <c r="G213" s="102" t="str">
        <f t="shared" si="57"/>
        <v>NMF</v>
      </c>
      <c r="H213" s="102">
        <f t="shared" si="58"/>
        <v>0.05</v>
      </c>
      <c r="I213" s="102">
        <f t="shared" si="59"/>
        <v>0.1948</v>
      </c>
      <c r="J213" s="528">
        <v>888.25099999999998</v>
      </c>
      <c r="K213" s="529">
        <f t="shared" si="49"/>
        <v>105.46204123</v>
      </c>
      <c r="L213" s="530">
        <f t="shared" si="60"/>
        <v>2.5873716151816094E-3</v>
      </c>
      <c r="M213" s="531">
        <f t="shared" si="50"/>
        <v>1.525444395373643E-5</v>
      </c>
      <c r="N213" s="532" t="str">
        <f t="shared" si="51"/>
        <v>--</v>
      </c>
      <c r="O213" s="533" t="str">
        <f t="shared" si="61"/>
        <v>--</v>
      </c>
      <c r="P213" s="533" t="str">
        <f t="shared" si="52"/>
        <v>--</v>
      </c>
      <c r="Q213" s="532">
        <f t="shared" si="53"/>
        <v>105.46204123</v>
      </c>
      <c r="R213" s="534">
        <f t="shared" si="62"/>
        <v>3.1757698469557032E-3</v>
      </c>
      <c r="S213" s="533">
        <f t="shared" si="54"/>
        <v>1.5878849234778517E-4</v>
      </c>
      <c r="T213" s="532">
        <f t="shared" si="55"/>
        <v>105.46204123</v>
      </c>
      <c r="U213" s="534">
        <f t="shared" si="63"/>
        <v>2.9415163527540858E-3</v>
      </c>
      <c r="V213" s="533">
        <f t="shared" si="56"/>
        <v>5.7300738551649595E-4</v>
      </c>
      <c r="W213" s="533"/>
      <c r="X213" s="535">
        <v>0.20230000000000001</v>
      </c>
      <c r="Y213" s="535">
        <v>0.05</v>
      </c>
      <c r="Z213" s="535">
        <v>0.1948</v>
      </c>
    </row>
    <row r="214" spans="1:26" ht="14.5">
      <c r="A214" s="509">
        <v>210</v>
      </c>
      <c r="B214" s="524" t="s">
        <v>883</v>
      </c>
      <c r="C214" s="525" t="s">
        <v>884</v>
      </c>
      <c r="D214" s="526">
        <v>703.33</v>
      </c>
      <c r="E214" s="527">
        <v>6.8</v>
      </c>
      <c r="F214" s="101">
        <f t="shared" si="48"/>
        <v>9.6682922667879929E-3</v>
      </c>
      <c r="G214" s="102">
        <f t="shared" si="57"/>
        <v>0.16200000000000001</v>
      </c>
      <c r="H214" s="102">
        <f t="shared" si="58"/>
        <v>0.125</v>
      </c>
      <c r="I214" s="102">
        <f t="shared" si="59"/>
        <v>0.16190000000000002</v>
      </c>
      <c r="J214" s="528">
        <v>132.887</v>
      </c>
      <c r="K214" s="529">
        <f t="shared" si="49"/>
        <v>93.463413710000012</v>
      </c>
      <c r="L214" s="530">
        <f t="shared" si="60"/>
        <v>2.2930011677266839E-3</v>
      </c>
      <c r="M214" s="531">
        <f t="shared" si="50"/>
        <v>2.2169405457667736E-5</v>
      </c>
      <c r="N214" s="532">
        <f t="shared" si="51"/>
        <v>93.463413710000012</v>
      </c>
      <c r="O214" s="533">
        <f t="shared" si="61"/>
        <v>2.7917825470378673E-3</v>
      </c>
      <c r="P214" s="533">
        <f t="shared" si="52"/>
        <v>4.5226877262013451E-4</v>
      </c>
      <c r="Q214" s="532">
        <f t="shared" si="53"/>
        <v>93.463413710000012</v>
      </c>
      <c r="R214" s="534">
        <f t="shared" si="62"/>
        <v>2.8144561549537945E-3</v>
      </c>
      <c r="S214" s="533">
        <f t="shared" si="54"/>
        <v>3.5180701936922431E-4</v>
      </c>
      <c r="T214" s="532">
        <f t="shared" si="55"/>
        <v>93.463413710000012</v>
      </c>
      <c r="U214" s="534">
        <f t="shared" si="63"/>
        <v>2.606854149661384E-3</v>
      </c>
      <c r="V214" s="533">
        <f t="shared" si="56"/>
        <v>4.220496868301781E-4</v>
      </c>
      <c r="W214" s="533"/>
      <c r="X214" s="535">
        <v>0.16200000000000001</v>
      </c>
      <c r="Y214" s="535">
        <v>0.125</v>
      </c>
      <c r="Z214" s="535">
        <v>0.16190000000000002</v>
      </c>
    </row>
    <row r="215" spans="1:26" ht="14.5">
      <c r="A215" s="509">
        <v>211</v>
      </c>
      <c r="B215" s="524" t="s">
        <v>885</v>
      </c>
      <c r="C215" s="525" t="s">
        <v>400</v>
      </c>
      <c r="D215" s="526">
        <v>133.54</v>
      </c>
      <c r="E215" s="527">
        <v>5.04</v>
      </c>
      <c r="F215" s="101">
        <f t="shared" si="48"/>
        <v>3.7741500673955375E-2</v>
      </c>
      <c r="G215" s="102">
        <f t="shared" si="57"/>
        <v>3.9100000000000003E-2</v>
      </c>
      <c r="H215" s="102">
        <f t="shared" si="58"/>
        <v>6.5000000000000002E-2</v>
      </c>
      <c r="I215" s="102">
        <f t="shared" si="59"/>
        <v>3.9699999999999999E-2</v>
      </c>
      <c r="J215" s="528">
        <v>331.81599999999997</v>
      </c>
      <c r="K215" s="529">
        <f t="shared" si="49"/>
        <v>44.310708639999994</v>
      </c>
      <c r="L215" s="530">
        <f t="shared" si="60"/>
        <v>1.0871045965598601E-3</v>
      </c>
      <c r="M215" s="531">
        <f t="shared" si="50"/>
        <v>4.1028958863723943E-5</v>
      </c>
      <c r="N215" s="532">
        <f t="shared" si="51"/>
        <v>44.310708639999994</v>
      </c>
      <c r="O215" s="533">
        <f t="shared" si="61"/>
        <v>1.3235752699111637E-3</v>
      </c>
      <c r="P215" s="533">
        <f t="shared" si="52"/>
        <v>5.1751793053526508E-5</v>
      </c>
      <c r="Q215" s="532">
        <f t="shared" si="53"/>
        <v>44.310708639999994</v>
      </c>
      <c r="R215" s="534">
        <f t="shared" si="62"/>
        <v>1.3343247556649965E-3</v>
      </c>
      <c r="S215" s="533">
        <f t="shared" si="54"/>
        <v>8.6731109118224771E-5</v>
      </c>
      <c r="T215" s="532">
        <f t="shared" si="55"/>
        <v>44.310708639999994</v>
      </c>
      <c r="U215" s="534">
        <f t="shared" si="63"/>
        <v>1.2359013019900161E-3</v>
      </c>
      <c r="V215" s="533">
        <f t="shared" si="56"/>
        <v>4.9065281689003637E-5</v>
      </c>
      <c r="W215" s="533"/>
      <c r="X215" s="535">
        <v>3.9100000000000003E-2</v>
      </c>
      <c r="Y215" s="535">
        <v>6.5000000000000002E-2</v>
      </c>
      <c r="Z215" s="535">
        <v>3.9699999999999999E-2</v>
      </c>
    </row>
    <row r="216" spans="1:26" ht="14.5">
      <c r="A216" s="509">
        <v>212</v>
      </c>
      <c r="B216" s="524" t="s">
        <v>886</v>
      </c>
      <c r="C216" s="525" t="s">
        <v>887</v>
      </c>
      <c r="D216" s="526">
        <v>27.04</v>
      </c>
      <c r="E216" s="527">
        <v>1.17</v>
      </c>
      <c r="F216" s="101">
        <f t="shared" si="48"/>
        <v>4.3269230769230768E-2</v>
      </c>
      <c r="G216" s="102">
        <f t="shared" si="57"/>
        <v>8.6500000000000007E-2</v>
      </c>
      <c r="H216" s="102">
        <f t="shared" si="58"/>
        <v>0.09</v>
      </c>
      <c r="I216" s="102">
        <f t="shared" si="59"/>
        <v>6.8900000000000003E-2</v>
      </c>
      <c r="J216" s="528">
        <v>2222.049</v>
      </c>
      <c r="K216" s="529">
        <f t="shared" si="49"/>
        <v>60.084204959999994</v>
      </c>
      <c r="L216" s="530">
        <f t="shared" si="60"/>
        <v>1.47408645443547E-3</v>
      </c>
      <c r="M216" s="531">
        <f t="shared" si="50"/>
        <v>6.3782586970765524E-5</v>
      </c>
      <c r="N216" s="532">
        <f t="shared" si="51"/>
        <v>60.084204959999994</v>
      </c>
      <c r="O216" s="533">
        <f t="shared" si="61"/>
        <v>1.7947347320358647E-3</v>
      </c>
      <c r="P216" s="533">
        <f t="shared" si="52"/>
        <v>1.552445543211023E-4</v>
      </c>
      <c r="Q216" s="532">
        <f t="shared" si="53"/>
        <v>60.084204959999994</v>
      </c>
      <c r="R216" s="534">
        <f t="shared" si="62"/>
        <v>1.8093107639945336E-3</v>
      </c>
      <c r="S216" s="533">
        <f t="shared" si="54"/>
        <v>1.6283796875950801E-4</v>
      </c>
      <c r="T216" s="532">
        <f t="shared" si="55"/>
        <v>60.084204959999994</v>
      </c>
      <c r="U216" s="534">
        <f t="shared" si="63"/>
        <v>1.6758510395851567E-3</v>
      </c>
      <c r="V216" s="533">
        <f t="shared" si="56"/>
        <v>1.154661366274173E-4</v>
      </c>
      <c r="W216" s="533"/>
      <c r="X216" s="535">
        <v>8.6500000000000007E-2</v>
      </c>
      <c r="Y216" s="535">
        <v>0.09</v>
      </c>
      <c r="Z216" s="535">
        <v>6.8900000000000003E-2</v>
      </c>
    </row>
    <row r="217" spans="1:26" ht="14.5">
      <c r="A217" s="509">
        <v>213</v>
      </c>
      <c r="B217" s="524" t="s">
        <v>888</v>
      </c>
      <c r="C217" s="525" t="s">
        <v>375</v>
      </c>
      <c r="D217" s="526">
        <v>71.17</v>
      </c>
      <c r="E217" s="527">
        <v>2.04</v>
      </c>
      <c r="F217" s="101">
        <f t="shared" si="48"/>
        <v>2.8663762821413516E-2</v>
      </c>
      <c r="G217" s="102">
        <f t="shared" si="57"/>
        <v>6.1030000000000001E-2</v>
      </c>
      <c r="H217" s="102">
        <f t="shared" si="58"/>
        <v>7.0000000000000007E-2</v>
      </c>
      <c r="I217" s="102">
        <f t="shared" si="59"/>
        <v>6.3299999999999995E-2</v>
      </c>
      <c r="J217" s="528">
        <v>4304</v>
      </c>
      <c r="K217" s="529">
        <f t="shared" si="49"/>
        <v>306.31567999999999</v>
      </c>
      <c r="L217" s="530">
        <f t="shared" si="60"/>
        <v>7.5150498366382979E-3</v>
      </c>
      <c r="M217" s="531">
        <f t="shared" si="50"/>
        <v>2.1540960610850256E-4</v>
      </c>
      <c r="N217" s="532">
        <f t="shared" si="51"/>
        <v>306.31567999999999</v>
      </c>
      <c r="O217" s="533">
        <f t="shared" si="61"/>
        <v>9.1497489270129101E-3</v>
      </c>
      <c r="P217" s="533">
        <f t="shared" si="52"/>
        <v>5.5840917701559787E-4</v>
      </c>
      <c r="Q217" s="532">
        <f t="shared" si="53"/>
        <v>306.31567999999999</v>
      </c>
      <c r="R217" s="534">
        <f t="shared" si="62"/>
        <v>9.2240590912914221E-3</v>
      </c>
      <c r="S217" s="533">
        <f t="shared" si="54"/>
        <v>6.4568413639039962E-4</v>
      </c>
      <c r="T217" s="532">
        <f t="shared" si="55"/>
        <v>306.31567999999999</v>
      </c>
      <c r="U217" s="534">
        <f t="shared" si="63"/>
        <v>8.5436671935824205E-3</v>
      </c>
      <c r="V217" s="533">
        <f t="shared" si="56"/>
        <v>5.4081413335376719E-4</v>
      </c>
      <c r="W217" s="533"/>
      <c r="X217" s="535">
        <v>6.1030000000000001E-2</v>
      </c>
      <c r="Y217" s="535">
        <v>7.0000000000000007E-2</v>
      </c>
      <c r="Z217" s="535">
        <v>6.3299999999999995E-2</v>
      </c>
    </row>
    <row r="218" spans="1:26" ht="14.5">
      <c r="A218" s="509">
        <v>214</v>
      </c>
      <c r="B218" s="524" t="s">
        <v>889</v>
      </c>
      <c r="C218" s="525" t="s">
        <v>890</v>
      </c>
      <c r="D218" s="526">
        <v>71.81</v>
      </c>
      <c r="E218" s="527">
        <v>1.37</v>
      </c>
      <c r="F218" s="101">
        <f t="shared" si="48"/>
        <v>1.9078122824119203E-2</v>
      </c>
      <c r="G218" s="102">
        <f t="shared" si="57"/>
        <v>6.0999999999999999E-2</v>
      </c>
      <c r="H218" s="102">
        <f t="shared" si="58"/>
        <v>0.05</v>
      </c>
      <c r="I218" s="102">
        <f t="shared" si="59"/>
        <v>7.0499999999999993E-2</v>
      </c>
      <c r="J218" s="528">
        <v>660.89300000000003</v>
      </c>
      <c r="K218" s="529">
        <f t="shared" si="49"/>
        <v>47.458726330000005</v>
      </c>
      <c r="L218" s="530">
        <f t="shared" si="60"/>
        <v>1.1643370445591562E-3</v>
      </c>
      <c r="M218" s="531">
        <f t="shared" si="50"/>
        <v>2.2213365144771535E-5</v>
      </c>
      <c r="N218" s="532">
        <f t="shared" si="51"/>
        <v>47.458726330000005</v>
      </c>
      <c r="O218" s="533">
        <f t="shared" si="61"/>
        <v>1.4176075815489331E-3</v>
      </c>
      <c r="P218" s="533">
        <f t="shared" si="52"/>
        <v>8.6474062474484921E-5</v>
      </c>
      <c r="Q218" s="532">
        <f t="shared" si="53"/>
        <v>47.458726330000005</v>
      </c>
      <c r="R218" s="534">
        <f t="shared" si="62"/>
        <v>1.4291207556379358E-3</v>
      </c>
      <c r="S218" s="533">
        <f t="shared" si="54"/>
        <v>7.1456037781896794E-5</v>
      </c>
      <c r="T218" s="532">
        <f t="shared" si="55"/>
        <v>47.458726330000005</v>
      </c>
      <c r="U218" s="534">
        <f t="shared" si="63"/>
        <v>1.3237048890047919E-3</v>
      </c>
      <c r="V218" s="533">
        <f t="shared" si="56"/>
        <v>9.3321194674837811E-5</v>
      </c>
      <c r="W218" s="533"/>
      <c r="X218" s="535">
        <v>6.0999999999999999E-2</v>
      </c>
      <c r="Y218" s="535">
        <v>0.05</v>
      </c>
      <c r="Z218" s="535">
        <v>7.0499999999999993E-2</v>
      </c>
    </row>
    <row r="219" spans="1:26" ht="14.5">
      <c r="A219" s="509">
        <v>215</v>
      </c>
      <c r="B219" s="524" t="s">
        <v>891</v>
      </c>
      <c r="C219" s="525" t="s">
        <v>892</v>
      </c>
      <c r="D219" s="526">
        <v>24.06</v>
      </c>
      <c r="E219" s="527">
        <v>0.82</v>
      </c>
      <c r="F219" s="101">
        <f t="shared" si="48"/>
        <v>3.408146300914381E-2</v>
      </c>
      <c r="G219" s="102">
        <f t="shared" si="57"/>
        <v>4.3400000000000001E-2</v>
      </c>
      <c r="H219" s="102" t="str">
        <f t="shared" si="58"/>
        <v>NMF</v>
      </c>
      <c r="I219" s="102">
        <f t="shared" si="59"/>
        <v>5.79E-2</v>
      </c>
      <c r="J219" s="528">
        <v>1918.691</v>
      </c>
      <c r="K219" s="529">
        <f t="shared" si="49"/>
        <v>46.163705459999996</v>
      </c>
      <c r="L219" s="530">
        <f t="shared" si="60"/>
        <v>1.1325654213189199E-3</v>
      </c>
      <c r="M219" s="531">
        <f t="shared" si="50"/>
        <v>3.8599486512116144E-5</v>
      </c>
      <c r="N219" s="532">
        <f t="shared" si="51"/>
        <v>46.163705459999996</v>
      </c>
      <c r="O219" s="533">
        <f t="shared" si="61"/>
        <v>1.3789248872260636E-3</v>
      </c>
      <c r="P219" s="533">
        <f t="shared" si="52"/>
        <v>5.9845340105611162E-5</v>
      </c>
      <c r="Q219" s="532" t="str">
        <f t="shared" si="53"/>
        <v>--</v>
      </c>
      <c r="R219" s="534" t="str">
        <f t="shared" si="62"/>
        <v>--</v>
      </c>
      <c r="S219" s="533" t="str">
        <f t="shared" si="54"/>
        <v>--</v>
      </c>
      <c r="T219" s="532">
        <f t="shared" si="55"/>
        <v>46.163705459999996</v>
      </c>
      <c r="U219" s="534">
        <f t="shared" si="63"/>
        <v>1.2875845463503654E-3</v>
      </c>
      <c r="V219" s="533">
        <f t="shared" si="56"/>
        <v>7.455114523368616E-5</v>
      </c>
      <c r="W219" s="533"/>
      <c r="X219" s="535">
        <v>4.3400000000000001E-2</v>
      </c>
      <c r="Y219" s="535" t="s">
        <v>36</v>
      </c>
      <c r="Z219" s="535">
        <v>5.79E-2</v>
      </c>
    </row>
    <row r="220" spans="1:26" ht="14.5">
      <c r="A220" s="509">
        <v>216</v>
      </c>
      <c r="B220" s="524" t="s">
        <v>893</v>
      </c>
      <c r="C220" s="525" t="s">
        <v>894</v>
      </c>
      <c r="D220" s="526">
        <v>87.97</v>
      </c>
      <c r="E220" s="527">
        <v>0.25</v>
      </c>
      <c r="F220" s="101">
        <f t="shared" si="48"/>
        <v>2.8418779129248607E-3</v>
      </c>
      <c r="G220" s="102" t="str">
        <f t="shared" si="57"/>
        <v>NMF</v>
      </c>
      <c r="H220" s="102">
        <f t="shared" si="58"/>
        <v>0.125</v>
      </c>
      <c r="I220" s="102" t="str">
        <f t="shared" si="59"/>
        <v>NMF</v>
      </c>
      <c r="J220" s="528">
        <v>209.697</v>
      </c>
      <c r="K220" s="529">
        <f t="shared" si="49"/>
        <v>18.44704509</v>
      </c>
      <c r="L220" s="530">
        <f t="shared" si="60"/>
        <v>4.5257383882556658E-4</v>
      </c>
      <c r="M220" s="531">
        <f t="shared" si="50"/>
        <v>1.2861595965259935E-6</v>
      </c>
      <c r="N220" s="532" t="str">
        <f t="shared" si="51"/>
        <v>--</v>
      </c>
      <c r="O220" s="533" t="str">
        <f t="shared" si="61"/>
        <v>--</v>
      </c>
      <c r="P220" s="533" t="str">
        <f t="shared" si="52"/>
        <v>--</v>
      </c>
      <c r="Q220" s="532">
        <f t="shared" si="53"/>
        <v>18.44704509</v>
      </c>
      <c r="R220" s="534">
        <f t="shared" si="62"/>
        <v>5.554943644082382E-4</v>
      </c>
      <c r="S220" s="533">
        <f t="shared" si="54"/>
        <v>6.9436795551029774E-5</v>
      </c>
      <c r="T220" s="532" t="str">
        <f t="shared" si="55"/>
        <v>--</v>
      </c>
      <c r="U220" s="534" t="str">
        <f t="shared" si="63"/>
        <v>--</v>
      </c>
      <c r="V220" s="533" t="str">
        <f t="shared" si="56"/>
        <v>--</v>
      </c>
      <c r="W220" s="533"/>
      <c r="X220" s="535" t="s">
        <v>36</v>
      </c>
      <c r="Y220" s="535">
        <v>0.125</v>
      </c>
      <c r="Z220" s="535" t="s">
        <v>36</v>
      </c>
    </row>
    <row r="221" spans="1:26" ht="14.5">
      <c r="A221" s="509">
        <v>217</v>
      </c>
      <c r="B221" s="524" t="s">
        <v>895</v>
      </c>
      <c r="C221" s="525" t="s">
        <v>896</v>
      </c>
      <c r="D221" s="526">
        <v>154.71</v>
      </c>
      <c r="E221" s="527">
        <v>1.6</v>
      </c>
      <c r="F221" s="101">
        <f t="shared" si="48"/>
        <v>1.0341930062697952E-2</v>
      </c>
      <c r="G221" s="102">
        <f t="shared" si="57"/>
        <v>0.17</v>
      </c>
      <c r="H221" s="102">
        <f t="shared" si="58"/>
        <v>0.09</v>
      </c>
      <c r="I221" s="102">
        <f t="shared" si="59"/>
        <v>7.400000000000001E-2</v>
      </c>
      <c r="J221" s="528">
        <v>128.71899999999999</v>
      </c>
      <c r="K221" s="529">
        <f t="shared" si="49"/>
        <v>19.914116490000001</v>
      </c>
      <c r="L221" s="530">
        <f t="shared" si="60"/>
        <v>4.8856649413105645E-4</v>
      </c>
      <c r="M221" s="531">
        <f t="shared" si="50"/>
        <v>5.0527205132809152E-6</v>
      </c>
      <c r="N221" s="532">
        <f t="shared" si="51"/>
        <v>19.914116490000001</v>
      </c>
      <c r="O221" s="533">
        <f t="shared" si="61"/>
        <v>5.9484113247740896E-4</v>
      </c>
      <c r="P221" s="533">
        <f t="shared" si="52"/>
        <v>1.0112299252115952E-4</v>
      </c>
      <c r="Q221" s="532">
        <f t="shared" si="53"/>
        <v>19.914116490000001</v>
      </c>
      <c r="R221" s="534">
        <f t="shared" si="62"/>
        <v>5.9967216583434754E-4</v>
      </c>
      <c r="S221" s="533">
        <f t="shared" si="54"/>
        <v>5.397049492509128E-5</v>
      </c>
      <c r="T221" s="532">
        <f t="shared" si="55"/>
        <v>19.914116490000001</v>
      </c>
      <c r="U221" s="534">
        <f t="shared" si="63"/>
        <v>5.5543870214150228E-4</v>
      </c>
      <c r="V221" s="533">
        <f t="shared" si="56"/>
        <v>4.1102463958471177E-5</v>
      </c>
      <c r="W221" s="533"/>
      <c r="X221" s="535">
        <v>0.17</v>
      </c>
      <c r="Y221" s="535">
        <v>0.09</v>
      </c>
      <c r="Z221" s="535">
        <v>7.400000000000001E-2</v>
      </c>
    </row>
    <row r="222" spans="1:26" ht="14.5">
      <c r="A222" s="509">
        <v>218</v>
      </c>
      <c r="B222" s="524" t="s">
        <v>897</v>
      </c>
      <c r="C222" s="525" t="s">
        <v>898</v>
      </c>
      <c r="D222" s="526">
        <v>109.57</v>
      </c>
      <c r="E222" s="527">
        <v>2.0299999999999998</v>
      </c>
      <c r="F222" s="101">
        <f t="shared" si="48"/>
        <v>1.8526969060874327E-2</v>
      </c>
      <c r="G222" s="102" t="str">
        <f t="shared" si="57"/>
        <v>NMF</v>
      </c>
      <c r="H222" s="102">
        <f t="shared" si="58"/>
        <v>0.04</v>
      </c>
      <c r="I222" s="102">
        <f t="shared" si="59"/>
        <v>3.61E-2</v>
      </c>
      <c r="J222" s="528">
        <v>232.184</v>
      </c>
      <c r="K222" s="529">
        <f t="shared" si="49"/>
        <v>25.440400879999999</v>
      </c>
      <c r="L222" s="530">
        <f t="shared" si="60"/>
        <v>6.241465682633576E-4</v>
      </c>
      <c r="M222" s="531">
        <f t="shared" si="50"/>
        <v>1.1563544159666113E-5</v>
      </c>
      <c r="N222" s="532" t="str">
        <f t="shared" si="51"/>
        <v>--</v>
      </c>
      <c r="O222" s="533" t="str">
        <f t="shared" si="61"/>
        <v>--</v>
      </c>
      <c r="P222" s="533" t="str">
        <f t="shared" si="52"/>
        <v>--</v>
      </c>
      <c r="Q222" s="532">
        <f t="shared" si="53"/>
        <v>25.440400879999999</v>
      </c>
      <c r="R222" s="534">
        <f t="shared" si="62"/>
        <v>7.6608471699281689E-4</v>
      </c>
      <c r="S222" s="533">
        <f t="shared" si="54"/>
        <v>3.0643388679712674E-5</v>
      </c>
      <c r="T222" s="532">
        <f t="shared" si="55"/>
        <v>25.440400879999999</v>
      </c>
      <c r="U222" s="534">
        <f t="shared" si="63"/>
        <v>7.0957620710125375E-4</v>
      </c>
      <c r="V222" s="533">
        <f t="shared" si="56"/>
        <v>2.5615701076355262E-5</v>
      </c>
      <c r="W222" s="533"/>
      <c r="X222" s="535">
        <v>-4.0999999999999995E-2</v>
      </c>
      <c r="Y222" s="535">
        <v>0.04</v>
      </c>
      <c r="Z222" s="535">
        <v>3.61E-2</v>
      </c>
    </row>
    <row r="223" spans="1:26" ht="14.5">
      <c r="A223" s="509">
        <v>219</v>
      </c>
      <c r="B223" s="524" t="s">
        <v>1335</v>
      </c>
      <c r="C223" s="525" t="s">
        <v>899</v>
      </c>
      <c r="D223" s="526">
        <v>248.76</v>
      </c>
      <c r="E223" s="527">
        <v>2.88</v>
      </c>
      <c r="F223" s="101">
        <f t="shared" si="48"/>
        <v>1.1577424023154847E-2</v>
      </c>
      <c r="G223" s="102">
        <f t="shared" si="57"/>
        <v>9.3379999999999991E-2</v>
      </c>
      <c r="H223" s="102">
        <f t="shared" si="58"/>
        <v>1.4999999999999999E-2</v>
      </c>
      <c r="I223" s="102">
        <f t="shared" si="59"/>
        <v>9.8299999999999998E-2</v>
      </c>
      <c r="J223" s="528">
        <v>83.7</v>
      </c>
      <c r="K223" s="529">
        <f t="shared" si="49"/>
        <v>20.821211999999999</v>
      </c>
      <c r="L223" s="530">
        <f t="shared" si="60"/>
        <v>5.1082088203650356E-4</v>
      </c>
      <c r="M223" s="531">
        <f t="shared" si="50"/>
        <v>5.9139899512185643E-6</v>
      </c>
      <c r="N223" s="532">
        <f t="shared" si="51"/>
        <v>20.821211999999999</v>
      </c>
      <c r="O223" s="533">
        <f t="shared" si="61"/>
        <v>6.2193637020510444E-4</v>
      </c>
      <c r="P223" s="533">
        <f t="shared" si="52"/>
        <v>5.8076418249752646E-5</v>
      </c>
      <c r="Q223" s="532">
        <f t="shared" si="53"/>
        <v>20.821211999999999</v>
      </c>
      <c r="R223" s="534">
        <f t="shared" si="62"/>
        <v>6.2698745895184351E-4</v>
      </c>
      <c r="S223" s="533">
        <f t="shared" si="54"/>
        <v>9.404811884277652E-6</v>
      </c>
      <c r="T223" s="532">
        <f t="shared" si="55"/>
        <v>20.821211999999999</v>
      </c>
      <c r="U223" s="534">
        <f t="shared" si="63"/>
        <v>5.8073914432008392E-4</v>
      </c>
      <c r="V223" s="533">
        <f t="shared" si="56"/>
        <v>5.7086657886664249E-5</v>
      </c>
      <c r="W223" s="533"/>
      <c r="X223" s="535">
        <v>9.3379999999999991E-2</v>
      </c>
      <c r="Y223" s="535">
        <v>1.4999999999999999E-2</v>
      </c>
      <c r="Z223" s="535">
        <v>9.8299999999999998E-2</v>
      </c>
    </row>
    <row r="224" spans="1:26" ht="14.5">
      <c r="A224" s="509">
        <v>220</v>
      </c>
      <c r="B224" s="524" t="s">
        <v>900</v>
      </c>
      <c r="C224" s="525" t="s">
        <v>901</v>
      </c>
      <c r="D224" s="526">
        <v>218.39</v>
      </c>
      <c r="E224" s="527">
        <v>4.8</v>
      </c>
      <c r="F224" s="101">
        <f t="shared" si="48"/>
        <v>2.1979028343788634E-2</v>
      </c>
      <c r="G224" s="102">
        <f t="shared" si="57"/>
        <v>0.115</v>
      </c>
      <c r="H224" s="102">
        <f t="shared" si="58"/>
        <v>0.09</v>
      </c>
      <c r="I224" s="102">
        <f t="shared" si="59"/>
        <v>0.11990000000000001</v>
      </c>
      <c r="J224" s="528">
        <v>186.946</v>
      </c>
      <c r="K224" s="529">
        <f t="shared" si="49"/>
        <v>40.827136939999995</v>
      </c>
      <c r="L224" s="530">
        <f t="shared" si="60"/>
        <v>1.0016397749908082E-3</v>
      </c>
      <c r="M224" s="531">
        <f t="shared" si="50"/>
        <v>2.2015069004789044E-5</v>
      </c>
      <c r="N224" s="532">
        <f t="shared" si="51"/>
        <v>40.827136939999995</v>
      </c>
      <c r="O224" s="533">
        <f t="shared" si="61"/>
        <v>1.2195198509256011E-3</v>
      </c>
      <c r="P224" s="533">
        <f t="shared" si="52"/>
        <v>1.4024478285644412E-4</v>
      </c>
      <c r="Q224" s="532">
        <f t="shared" si="53"/>
        <v>40.827136939999995</v>
      </c>
      <c r="R224" s="534">
        <f t="shared" si="62"/>
        <v>1.2294242451539104E-3</v>
      </c>
      <c r="S224" s="533">
        <f t="shared" si="54"/>
        <v>1.1064818206385194E-4</v>
      </c>
      <c r="T224" s="532">
        <f t="shared" si="55"/>
        <v>40.827136939999995</v>
      </c>
      <c r="U224" s="534">
        <f t="shared" si="63"/>
        <v>1.1387385408483659E-3</v>
      </c>
      <c r="V224" s="533">
        <f t="shared" si="56"/>
        <v>1.3653475104771908E-4</v>
      </c>
      <c r="W224" s="533"/>
      <c r="X224" s="535">
        <v>0.115</v>
      </c>
      <c r="Y224" s="535">
        <v>0.09</v>
      </c>
      <c r="Z224" s="535">
        <v>0.11990000000000001</v>
      </c>
    </row>
    <row r="225" spans="1:26" ht="14.5">
      <c r="A225" s="509">
        <v>221</v>
      </c>
      <c r="B225" s="524" t="s">
        <v>1336</v>
      </c>
      <c r="C225" s="525" t="s">
        <v>1337</v>
      </c>
      <c r="D225" s="526">
        <v>576.38</v>
      </c>
      <c r="E225" s="527">
        <v>4.5999999999999996</v>
      </c>
      <c r="F225" s="101">
        <f t="shared" si="48"/>
        <v>7.9808459696727851E-3</v>
      </c>
      <c r="G225" s="102">
        <f t="shared" si="57"/>
        <v>0.10503</v>
      </c>
      <c r="H225" s="102">
        <f t="shared" si="58"/>
        <v>0.11</v>
      </c>
      <c r="I225" s="102">
        <f t="shared" si="59"/>
        <v>0.11939999999999999</v>
      </c>
      <c r="J225" s="528">
        <v>35.484999999999999</v>
      </c>
      <c r="K225" s="529">
        <f t="shared" si="49"/>
        <v>20.452844300000002</v>
      </c>
      <c r="L225" s="530">
        <f t="shared" si="60"/>
        <v>5.0178346800759123E-4</v>
      </c>
      <c r="M225" s="531">
        <f t="shared" si="50"/>
        <v>4.0046565682968172E-6</v>
      </c>
      <c r="N225" s="532">
        <f t="shared" si="51"/>
        <v>20.452844300000002</v>
      </c>
      <c r="O225" s="533">
        <f t="shared" si="61"/>
        <v>6.1093310727118881E-4</v>
      </c>
      <c r="P225" s="533">
        <f t="shared" si="52"/>
        <v>6.4166304256692955E-5</v>
      </c>
      <c r="Q225" s="532">
        <f t="shared" si="53"/>
        <v>20.452844300000002</v>
      </c>
      <c r="R225" s="534">
        <f t="shared" si="62"/>
        <v>6.1589483244273667E-4</v>
      </c>
      <c r="S225" s="533">
        <f t="shared" si="54"/>
        <v>6.7748431568701039E-5</v>
      </c>
      <c r="T225" s="532">
        <f t="shared" si="55"/>
        <v>20.452844300000002</v>
      </c>
      <c r="U225" s="534">
        <f t="shared" si="63"/>
        <v>5.7046474036640644E-4</v>
      </c>
      <c r="V225" s="533">
        <f t="shared" si="56"/>
        <v>6.8113489999748923E-5</v>
      </c>
      <c r="W225" s="533"/>
      <c r="X225" s="535">
        <v>0.10503</v>
      </c>
      <c r="Y225" s="535">
        <v>0.11</v>
      </c>
      <c r="Z225" s="535">
        <v>0.11939999999999999</v>
      </c>
    </row>
    <row r="226" spans="1:26" ht="14.5">
      <c r="A226" s="509">
        <v>222</v>
      </c>
      <c r="B226" s="524" t="s">
        <v>902</v>
      </c>
      <c r="C226" s="525" t="s">
        <v>903</v>
      </c>
      <c r="D226" s="526">
        <v>453.23</v>
      </c>
      <c r="E226" s="527">
        <v>6</v>
      </c>
      <c r="F226" s="101">
        <f t="shared" si="48"/>
        <v>1.3238311673984511E-2</v>
      </c>
      <c r="G226" s="102">
        <f t="shared" si="57"/>
        <v>8.0250000000000002E-2</v>
      </c>
      <c r="H226" s="102">
        <f t="shared" si="58"/>
        <v>7.0000000000000007E-2</v>
      </c>
      <c r="I226" s="102">
        <f t="shared" si="59"/>
        <v>8.6300000000000002E-2</v>
      </c>
      <c r="J226" s="528">
        <v>470.72399999999999</v>
      </c>
      <c r="K226" s="529">
        <f t="shared" si="49"/>
        <v>213.34623852000001</v>
      </c>
      <c r="L226" s="530">
        <f t="shared" si="60"/>
        <v>5.2341676238615064E-3</v>
      </c>
      <c r="M226" s="531">
        <f t="shared" si="50"/>
        <v>6.9291542358557544E-5</v>
      </c>
      <c r="N226" s="532">
        <f t="shared" si="51"/>
        <v>213.34623852000001</v>
      </c>
      <c r="O226" s="533">
        <f t="shared" si="61"/>
        <v>6.372721491046787E-3</v>
      </c>
      <c r="P226" s="533">
        <f t="shared" si="52"/>
        <v>5.1141089965650469E-4</v>
      </c>
      <c r="Q226" s="532">
        <f t="shared" si="53"/>
        <v>213.34623852000001</v>
      </c>
      <c r="R226" s="534">
        <f t="shared" si="62"/>
        <v>6.4244778818153686E-3</v>
      </c>
      <c r="S226" s="533">
        <f t="shared" si="54"/>
        <v>4.4971345172707585E-4</v>
      </c>
      <c r="T226" s="532">
        <f t="shared" si="55"/>
        <v>213.34623852000001</v>
      </c>
      <c r="U226" s="534">
        <f t="shared" si="63"/>
        <v>5.9505907726223302E-3</v>
      </c>
      <c r="V226" s="533">
        <f t="shared" si="56"/>
        <v>5.1353598367730711E-4</v>
      </c>
      <c r="W226" s="533"/>
      <c r="X226" s="535">
        <v>8.0250000000000002E-2</v>
      </c>
      <c r="Y226" s="535">
        <v>7.0000000000000007E-2</v>
      </c>
      <c r="Z226" s="535">
        <v>8.6300000000000002E-2</v>
      </c>
    </row>
    <row r="227" spans="1:26" ht="14.5">
      <c r="A227" s="509">
        <v>223</v>
      </c>
      <c r="B227" s="524" t="s">
        <v>904</v>
      </c>
      <c r="C227" s="525" t="s">
        <v>905</v>
      </c>
      <c r="D227" s="526">
        <v>40.03</v>
      </c>
      <c r="E227" s="527">
        <v>1.2</v>
      </c>
      <c r="F227" s="101">
        <f t="shared" si="48"/>
        <v>2.9977516862353233E-2</v>
      </c>
      <c r="G227" s="102" t="str">
        <f t="shared" si="57"/>
        <v>NMF</v>
      </c>
      <c r="H227" s="102">
        <f t="shared" si="58"/>
        <v>0.03</v>
      </c>
      <c r="I227" s="102" t="str">
        <f t="shared" si="59"/>
        <v>NMF</v>
      </c>
      <c r="J227" s="528">
        <v>258.14800000000002</v>
      </c>
      <c r="K227" s="529">
        <f t="shared" si="49"/>
        <v>10.33366444</v>
      </c>
      <c r="L227" s="530">
        <f t="shared" si="60"/>
        <v>2.5352278166660287E-4</v>
      </c>
      <c r="M227" s="531">
        <f t="shared" si="50"/>
        <v>7.5999834624012848E-6</v>
      </c>
      <c r="N227" s="532" t="str">
        <f t="shared" si="51"/>
        <v>--</v>
      </c>
      <c r="O227" s="533" t="str">
        <f t="shared" si="61"/>
        <v>--</v>
      </c>
      <c r="P227" s="533" t="str">
        <f t="shared" si="52"/>
        <v>--</v>
      </c>
      <c r="Q227" s="532">
        <f t="shared" si="53"/>
        <v>10.33366444</v>
      </c>
      <c r="R227" s="534">
        <f t="shared" si="62"/>
        <v>3.1117679455435279E-4</v>
      </c>
      <c r="S227" s="533">
        <f t="shared" si="54"/>
        <v>9.3353038366305832E-6</v>
      </c>
      <c r="T227" s="532" t="str">
        <f t="shared" si="55"/>
        <v>--</v>
      </c>
      <c r="U227" s="534" t="str">
        <f t="shared" si="63"/>
        <v>--</v>
      </c>
      <c r="V227" s="533" t="str">
        <f t="shared" si="56"/>
        <v>--</v>
      </c>
      <c r="W227" s="533"/>
      <c r="X227" s="535" t="s">
        <v>36</v>
      </c>
      <c r="Y227" s="535">
        <v>0.03</v>
      </c>
      <c r="Z227" s="535" t="s">
        <v>36</v>
      </c>
    </row>
    <row r="228" spans="1:26" ht="14.5">
      <c r="A228" s="509">
        <v>224</v>
      </c>
      <c r="B228" s="524" t="s">
        <v>906</v>
      </c>
      <c r="C228" s="525" t="s">
        <v>402</v>
      </c>
      <c r="D228" s="526">
        <v>751.45</v>
      </c>
      <c r="E228" s="527">
        <v>6</v>
      </c>
      <c r="F228" s="101">
        <f t="shared" si="48"/>
        <v>7.9845631778561448E-3</v>
      </c>
      <c r="G228" s="102" t="str">
        <f t="shared" si="57"/>
        <v>NMF</v>
      </c>
      <c r="H228" s="102" t="str">
        <f t="shared" si="58"/>
        <v>NMF</v>
      </c>
      <c r="I228" s="102" t="str">
        <f t="shared" si="59"/>
        <v>NMF</v>
      </c>
      <c r="J228" s="528">
        <v>947.73599999999999</v>
      </c>
      <c r="K228" s="529">
        <f t="shared" si="49"/>
        <v>712.17621720000011</v>
      </c>
      <c r="L228" s="530">
        <f t="shared" si="60"/>
        <v>1.7472301008967423E-2</v>
      </c>
      <c r="M228" s="531">
        <f t="shared" si="50"/>
        <v>1.3950869126862006E-4</v>
      </c>
      <c r="N228" s="532" t="str">
        <f t="shared" si="51"/>
        <v>--</v>
      </c>
      <c r="O228" s="533" t="str">
        <f t="shared" si="61"/>
        <v>--</v>
      </c>
      <c r="P228" s="533" t="str">
        <f t="shared" si="52"/>
        <v>--</v>
      </c>
      <c r="Q228" s="532" t="str">
        <f t="shared" si="53"/>
        <v>--</v>
      </c>
      <c r="R228" s="534" t="str">
        <f t="shared" si="62"/>
        <v>--</v>
      </c>
      <c r="S228" s="533" t="str">
        <f t="shared" si="54"/>
        <v>--</v>
      </c>
      <c r="T228" s="532" t="str">
        <f t="shared" si="55"/>
        <v>--</v>
      </c>
      <c r="U228" s="534" t="str">
        <f t="shared" si="63"/>
        <v>--</v>
      </c>
      <c r="V228" s="533" t="str">
        <f t="shared" si="56"/>
        <v>--</v>
      </c>
      <c r="W228" s="533"/>
      <c r="X228" s="535">
        <v>0.40947</v>
      </c>
      <c r="Y228" s="535">
        <v>0.255</v>
      </c>
      <c r="Z228" s="535">
        <v>0.31209999999999999</v>
      </c>
    </row>
    <row r="229" spans="1:26" ht="14.5">
      <c r="A229" s="509">
        <v>225</v>
      </c>
      <c r="B229" s="524" t="s">
        <v>907</v>
      </c>
      <c r="C229" s="525" t="s">
        <v>405</v>
      </c>
      <c r="D229" s="526">
        <v>474.53</v>
      </c>
      <c r="E229" s="527">
        <v>13.2</v>
      </c>
      <c r="F229" s="101">
        <f t="shared" si="48"/>
        <v>2.7816997871578195E-2</v>
      </c>
      <c r="G229" s="102">
        <f t="shared" si="57"/>
        <v>9.3049999999999994E-2</v>
      </c>
      <c r="H229" s="102">
        <f t="shared" si="58"/>
        <v>9.5000000000000001E-2</v>
      </c>
      <c r="I229" s="102">
        <f t="shared" si="59"/>
        <v>0.1052</v>
      </c>
      <c r="J229" s="528">
        <v>234.29599999999999</v>
      </c>
      <c r="K229" s="529">
        <f t="shared" si="49"/>
        <v>111.18048087999999</v>
      </c>
      <c r="L229" s="530">
        <f t="shared" si="60"/>
        <v>2.7276659643235088E-3</v>
      </c>
      <c r="M229" s="531">
        <f t="shared" si="50"/>
        <v>7.5875478323963325E-5</v>
      </c>
      <c r="N229" s="532">
        <f t="shared" si="51"/>
        <v>111.18048087999999</v>
      </c>
      <c r="O229" s="533">
        <f t="shared" si="61"/>
        <v>3.3209971021939174E-3</v>
      </c>
      <c r="P229" s="533">
        <f t="shared" si="52"/>
        <v>3.0901878035914399E-4</v>
      </c>
      <c r="Q229" s="532">
        <f t="shared" si="53"/>
        <v>111.18048087999999</v>
      </c>
      <c r="R229" s="534">
        <f t="shared" si="62"/>
        <v>3.3479687537879745E-3</v>
      </c>
      <c r="S229" s="533">
        <f t="shared" si="54"/>
        <v>3.1805703160985759E-4</v>
      </c>
      <c r="T229" s="532">
        <f t="shared" si="55"/>
        <v>111.18048087999999</v>
      </c>
      <c r="U229" s="534">
        <f t="shared" si="63"/>
        <v>3.1010133959227084E-3</v>
      </c>
      <c r="V229" s="533">
        <f t="shared" si="56"/>
        <v>3.2622660925106891E-4</v>
      </c>
      <c r="W229" s="533"/>
      <c r="X229" s="535">
        <v>9.3049999999999994E-2</v>
      </c>
      <c r="Y229" s="535">
        <v>9.5000000000000001E-2</v>
      </c>
      <c r="Z229" s="535">
        <v>0.1052</v>
      </c>
    </row>
    <row r="230" spans="1:26" ht="14.5">
      <c r="A230" s="509">
        <v>226</v>
      </c>
      <c r="B230" s="524" t="s">
        <v>908</v>
      </c>
      <c r="C230" s="525" t="s">
        <v>909</v>
      </c>
      <c r="D230" s="526">
        <v>61.11</v>
      </c>
      <c r="E230" s="527">
        <v>2.0299999999999998</v>
      </c>
      <c r="F230" s="101">
        <f t="shared" si="48"/>
        <v>3.3218785796105384E-2</v>
      </c>
      <c r="G230" s="102">
        <f t="shared" si="57"/>
        <v>6.4500000000000002E-2</v>
      </c>
      <c r="H230" s="102">
        <f t="shared" si="58"/>
        <v>7.4999999999999997E-2</v>
      </c>
      <c r="I230" s="102">
        <f t="shared" si="59"/>
        <v>6.7299999999999999E-2</v>
      </c>
      <c r="J230" s="528">
        <v>256.86700000000002</v>
      </c>
      <c r="K230" s="529">
        <f t="shared" si="49"/>
        <v>15.697142370000002</v>
      </c>
      <c r="L230" s="530">
        <f t="shared" si="60"/>
        <v>3.851086147576795E-4</v>
      </c>
      <c r="M230" s="531">
        <f t="shared" si="50"/>
        <v>1.2792840581870223E-5</v>
      </c>
      <c r="N230" s="532">
        <f t="shared" si="51"/>
        <v>15.697142370000002</v>
      </c>
      <c r="O230" s="533">
        <f t="shared" si="61"/>
        <v>4.6887874481997267E-4</v>
      </c>
      <c r="P230" s="533">
        <f t="shared" si="52"/>
        <v>3.0242679040888239E-5</v>
      </c>
      <c r="Q230" s="532">
        <f t="shared" si="53"/>
        <v>15.697142370000002</v>
      </c>
      <c r="R230" s="534">
        <f t="shared" si="62"/>
        <v>4.7268676805997748E-4</v>
      </c>
      <c r="S230" s="533">
        <f t="shared" si="54"/>
        <v>3.5451507604498307E-5</v>
      </c>
      <c r="T230" s="532">
        <f t="shared" si="55"/>
        <v>15.697142370000002</v>
      </c>
      <c r="U230" s="534">
        <f t="shared" si="63"/>
        <v>4.3782009559406701E-4</v>
      </c>
      <c r="V230" s="533">
        <f t="shared" si="56"/>
        <v>2.946529243348071E-5</v>
      </c>
      <c r="W230" s="533"/>
      <c r="X230" s="535">
        <v>6.4500000000000002E-2</v>
      </c>
      <c r="Y230" s="535">
        <v>7.4999999999999997E-2</v>
      </c>
      <c r="Z230" s="535">
        <v>6.7299999999999999E-2</v>
      </c>
    </row>
    <row r="231" spans="1:26" ht="14.5">
      <c r="A231" s="509">
        <v>227</v>
      </c>
      <c r="B231" s="524" t="s">
        <v>910</v>
      </c>
      <c r="C231" s="525" t="s">
        <v>911</v>
      </c>
      <c r="D231" s="526">
        <v>224.48</v>
      </c>
      <c r="E231" s="527">
        <v>4.7</v>
      </c>
      <c r="F231" s="101">
        <f t="shared" si="48"/>
        <v>2.0937277263007842E-2</v>
      </c>
      <c r="G231" s="102">
        <f t="shared" si="57"/>
        <v>0.06</v>
      </c>
      <c r="H231" s="102">
        <f t="shared" si="58"/>
        <v>5.5E-2</v>
      </c>
      <c r="I231" s="102">
        <f t="shared" si="59"/>
        <v>8.5199999999999998E-2</v>
      </c>
      <c r="J231" s="528">
        <v>559.70600000000002</v>
      </c>
      <c r="K231" s="529">
        <f t="shared" si="49"/>
        <v>125.64280288</v>
      </c>
      <c r="L231" s="530">
        <f t="shared" si="60"/>
        <v>3.0824798954402922E-3</v>
      </c>
      <c r="M231" s="531">
        <f t="shared" si="50"/>
        <v>6.453873622848082E-5</v>
      </c>
      <c r="N231" s="532">
        <f t="shared" si="51"/>
        <v>125.64280288</v>
      </c>
      <c r="O231" s="533">
        <f t="shared" si="61"/>
        <v>3.7529913611937028E-3</v>
      </c>
      <c r="P231" s="533">
        <f t="shared" si="52"/>
        <v>2.2517948167162215E-4</v>
      </c>
      <c r="Q231" s="532">
        <f t="shared" si="53"/>
        <v>125.64280288</v>
      </c>
      <c r="R231" s="534">
        <f t="shared" si="62"/>
        <v>3.7834714767477789E-3</v>
      </c>
      <c r="S231" s="533">
        <f t="shared" si="54"/>
        <v>2.0809093122112785E-4</v>
      </c>
      <c r="T231" s="532">
        <f t="shared" si="55"/>
        <v>125.64280288</v>
      </c>
      <c r="U231" s="534">
        <f t="shared" si="63"/>
        <v>3.5043922435691148E-3</v>
      </c>
      <c r="V231" s="533">
        <f t="shared" si="56"/>
        <v>2.9857421915208858E-4</v>
      </c>
      <c r="W231" s="533"/>
      <c r="X231" s="535">
        <v>0.06</v>
      </c>
      <c r="Y231" s="535">
        <v>5.5E-2</v>
      </c>
      <c r="Z231" s="535">
        <v>8.5199999999999998E-2</v>
      </c>
    </row>
    <row r="232" spans="1:26" ht="14.5">
      <c r="A232" s="509">
        <v>228</v>
      </c>
      <c r="B232" s="524" t="s">
        <v>912</v>
      </c>
      <c r="C232" s="525" t="s">
        <v>913</v>
      </c>
      <c r="D232" s="526">
        <v>74.900000000000006</v>
      </c>
      <c r="E232" s="527">
        <v>0.9</v>
      </c>
      <c r="F232" s="101">
        <f t="shared" si="48"/>
        <v>1.2016021361815754E-2</v>
      </c>
      <c r="G232" s="102">
        <f t="shared" si="57"/>
        <v>0.17187000000000002</v>
      </c>
      <c r="H232" s="102">
        <f t="shared" si="58"/>
        <v>0.1</v>
      </c>
      <c r="I232" s="102">
        <f t="shared" si="59"/>
        <v>0.17730000000000001</v>
      </c>
      <c r="J232" s="528">
        <v>1279.1179999999999</v>
      </c>
      <c r="K232" s="529">
        <f t="shared" si="49"/>
        <v>95.8059382</v>
      </c>
      <c r="L232" s="530">
        <f t="shared" si="60"/>
        <v>2.3504719060378786E-3</v>
      </c>
      <c r="M232" s="531">
        <f t="shared" si="50"/>
        <v>2.8243320633298944E-5</v>
      </c>
      <c r="N232" s="532">
        <f t="shared" si="51"/>
        <v>95.8059382</v>
      </c>
      <c r="O232" s="533">
        <f t="shared" si="61"/>
        <v>2.8617545149726424E-3</v>
      </c>
      <c r="P232" s="533">
        <f t="shared" si="52"/>
        <v>4.9184974848834816E-4</v>
      </c>
      <c r="Q232" s="532">
        <f t="shared" si="53"/>
        <v>95.8059382</v>
      </c>
      <c r="R232" s="534">
        <f t="shared" si="62"/>
        <v>2.884996403884431E-3</v>
      </c>
      <c r="S232" s="533">
        <f t="shared" si="54"/>
        <v>2.8849964038844312E-4</v>
      </c>
      <c r="T232" s="532">
        <f t="shared" si="55"/>
        <v>95.8059382</v>
      </c>
      <c r="U232" s="534">
        <f t="shared" si="63"/>
        <v>2.6721911563577969E-3</v>
      </c>
      <c r="V232" s="533">
        <f t="shared" si="56"/>
        <v>4.7377949202223742E-4</v>
      </c>
      <c r="W232" s="533"/>
      <c r="X232" s="535">
        <v>0.17187000000000002</v>
      </c>
      <c r="Y232" s="535">
        <v>0.1</v>
      </c>
      <c r="Z232" s="535">
        <v>0.17730000000000001</v>
      </c>
    </row>
    <row r="233" spans="1:26" ht="14.5">
      <c r="A233" s="509">
        <v>229</v>
      </c>
      <c r="B233" s="524" t="s">
        <v>914</v>
      </c>
      <c r="C233" s="525" t="s">
        <v>915</v>
      </c>
      <c r="D233" s="526">
        <v>31.07</v>
      </c>
      <c r="E233" s="527">
        <v>0.72</v>
      </c>
      <c r="F233" s="101">
        <f t="shared" si="48"/>
        <v>2.3173479240424847E-2</v>
      </c>
      <c r="G233" s="102" t="str">
        <f t="shared" si="57"/>
        <v>NMF</v>
      </c>
      <c r="H233" s="102" t="str">
        <f t="shared" si="58"/>
        <v>NMF</v>
      </c>
      <c r="I233" s="102" t="str">
        <f t="shared" si="59"/>
        <v>NMF</v>
      </c>
      <c r="J233" s="528">
        <v>569.86599999999999</v>
      </c>
      <c r="K233" s="529">
        <f t="shared" si="49"/>
        <v>17.70573662</v>
      </c>
      <c r="L233" s="530">
        <f t="shared" si="60"/>
        <v>4.3438681654720299E-4</v>
      </c>
      <c r="M233" s="531">
        <f t="shared" si="50"/>
        <v>1.0066253875570844E-5</v>
      </c>
      <c r="N233" s="532" t="str">
        <f t="shared" si="51"/>
        <v>--</v>
      </c>
      <c r="O233" s="533" t="str">
        <f t="shared" si="61"/>
        <v>--</v>
      </c>
      <c r="P233" s="533" t="str">
        <f t="shared" si="52"/>
        <v>--</v>
      </c>
      <c r="Q233" s="532" t="str">
        <f t="shared" si="53"/>
        <v>--</v>
      </c>
      <c r="R233" s="534" t="str">
        <f t="shared" si="62"/>
        <v>--</v>
      </c>
      <c r="S233" s="533" t="str">
        <f t="shared" si="54"/>
        <v>--</v>
      </c>
      <c r="T233" s="532" t="str">
        <f t="shared" si="55"/>
        <v>--</v>
      </c>
      <c r="U233" s="534" t="str">
        <f t="shared" si="63"/>
        <v>--</v>
      </c>
      <c r="V233" s="533" t="str">
        <f t="shared" si="56"/>
        <v>--</v>
      </c>
      <c r="W233" s="533"/>
      <c r="X233" s="535">
        <v>0.51942999999999995</v>
      </c>
      <c r="Y233" s="535">
        <v>0.46</v>
      </c>
      <c r="Z233" s="535">
        <v>0.21859999999999999</v>
      </c>
    </row>
    <row r="234" spans="1:26" ht="14.5">
      <c r="A234" s="509">
        <v>230</v>
      </c>
      <c r="B234" s="524" t="s">
        <v>916</v>
      </c>
      <c r="C234" s="525" t="s">
        <v>917</v>
      </c>
      <c r="D234" s="526">
        <v>39.76</v>
      </c>
      <c r="E234" s="527">
        <v>1</v>
      </c>
      <c r="F234" s="101">
        <f t="shared" si="48"/>
        <v>2.5150905432595575E-2</v>
      </c>
      <c r="G234" s="102">
        <f t="shared" si="57"/>
        <v>6.2469999999999998E-2</v>
      </c>
      <c r="H234" s="102" t="str">
        <f t="shared" si="58"/>
        <v>NMF</v>
      </c>
      <c r="I234" s="102">
        <f t="shared" si="59"/>
        <v>0.11460000000000001</v>
      </c>
      <c r="J234" s="528">
        <v>706.62800000000004</v>
      </c>
      <c r="K234" s="529">
        <f t="shared" si="49"/>
        <v>28.095529279999997</v>
      </c>
      <c r="L234" s="530">
        <f t="shared" si="60"/>
        <v>6.892866298125206E-4</v>
      </c>
      <c r="M234" s="531">
        <f t="shared" si="50"/>
        <v>1.7336182842367218E-5</v>
      </c>
      <c r="N234" s="532">
        <f t="shared" si="51"/>
        <v>28.095529279999997</v>
      </c>
      <c r="O234" s="533">
        <f t="shared" si="61"/>
        <v>8.3922259181619364E-4</v>
      </c>
      <c r="P234" s="533">
        <f t="shared" si="52"/>
        <v>5.2426235310757617E-5</v>
      </c>
      <c r="Q234" s="532" t="str">
        <f t="shared" si="53"/>
        <v>--</v>
      </c>
      <c r="R234" s="534" t="str">
        <f t="shared" si="62"/>
        <v>--</v>
      </c>
      <c r="S234" s="533" t="str">
        <f t="shared" si="54"/>
        <v>--</v>
      </c>
      <c r="T234" s="532">
        <f t="shared" si="55"/>
        <v>28.095529279999997</v>
      </c>
      <c r="U234" s="534">
        <f t="shared" si="63"/>
        <v>7.83632270459907E-4</v>
      </c>
      <c r="V234" s="533">
        <f t="shared" si="56"/>
        <v>8.9804258194705344E-5</v>
      </c>
      <c r="W234" s="533"/>
      <c r="X234" s="535">
        <v>6.2469999999999998E-2</v>
      </c>
      <c r="Y234" s="535">
        <v>0.315</v>
      </c>
      <c r="Z234" s="535">
        <v>0.11460000000000001</v>
      </c>
    </row>
    <row r="235" spans="1:26" ht="14.5">
      <c r="A235" s="509">
        <v>231</v>
      </c>
      <c r="B235" s="524" t="s">
        <v>918</v>
      </c>
      <c r="C235" s="525" t="s">
        <v>919</v>
      </c>
      <c r="D235" s="526">
        <v>51.46</v>
      </c>
      <c r="E235" s="527">
        <v>1.5</v>
      </c>
      <c r="F235" s="101">
        <f t="shared" si="48"/>
        <v>2.9148853478429847E-2</v>
      </c>
      <c r="G235" s="102" t="str">
        <f t="shared" si="57"/>
        <v>NMF</v>
      </c>
      <c r="H235" s="102">
        <f t="shared" si="58"/>
        <v>4.4999999999999998E-2</v>
      </c>
      <c r="I235" s="102">
        <f t="shared" si="59"/>
        <v>0.13109999999999999</v>
      </c>
      <c r="J235" s="528">
        <v>141.11600000000001</v>
      </c>
      <c r="K235" s="529">
        <f t="shared" si="49"/>
        <v>7.261829360000001</v>
      </c>
      <c r="L235" s="530">
        <f t="shared" si="60"/>
        <v>1.7815937318508543E-4</v>
      </c>
      <c r="M235" s="531">
        <f t="shared" si="50"/>
        <v>5.1931414647809584E-6</v>
      </c>
      <c r="N235" s="532" t="str">
        <f t="shared" si="51"/>
        <v>--</v>
      </c>
      <c r="O235" s="533" t="str">
        <f t="shared" si="61"/>
        <v>--</v>
      </c>
      <c r="P235" s="533" t="str">
        <f t="shared" si="52"/>
        <v>--</v>
      </c>
      <c r="Q235" s="532">
        <f t="shared" si="53"/>
        <v>7.261829360000001</v>
      </c>
      <c r="R235" s="534">
        <f t="shared" si="62"/>
        <v>2.1867487530352665E-4</v>
      </c>
      <c r="S235" s="533">
        <f t="shared" si="54"/>
        <v>9.8403693886586996E-6</v>
      </c>
      <c r="T235" s="532">
        <f t="shared" si="55"/>
        <v>7.261829360000001</v>
      </c>
      <c r="U235" s="534">
        <f t="shared" si="63"/>
        <v>2.0254481673424502E-4</v>
      </c>
      <c r="V235" s="533">
        <f t="shared" si="56"/>
        <v>2.6553625473859522E-5</v>
      </c>
      <c r="W235" s="533"/>
      <c r="X235" s="535">
        <v>-6.9400000000000003E-2</v>
      </c>
      <c r="Y235" s="535">
        <v>4.4999999999999998E-2</v>
      </c>
      <c r="Z235" s="535">
        <v>0.13109999999999999</v>
      </c>
    </row>
    <row r="236" spans="1:26" ht="14.5">
      <c r="A236" s="509">
        <v>232</v>
      </c>
      <c r="B236" s="524" t="s">
        <v>920</v>
      </c>
      <c r="C236" s="525" t="s">
        <v>921</v>
      </c>
      <c r="D236" s="526">
        <v>57.22</v>
      </c>
      <c r="E236" s="527">
        <v>5.36</v>
      </c>
      <c r="F236" s="101">
        <f t="shared" si="48"/>
        <v>9.3673540720027967E-2</v>
      </c>
      <c r="G236" s="102">
        <f t="shared" si="57"/>
        <v>8.0229999999999996E-2</v>
      </c>
      <c r="H236" s="102" t="str">
        <f t="shared" si="58"/>
        <v>NMF</v>
      </c>
      <c r="I236" s="102">
        <f t="shared" si="59"/>
        <v>8.6400000000000005E-2</v>
      </c>
      <c r="J236" s="528">
        <v>321.39999999999998</v>
      </c>
      <c r="K236" s="529">
        <f t="shared" si="49"/>
        <v>18.390507999999997</v>
      </c>
      <c r="L236" s="530">
        <f t="shared" si="60"/>
        <v>4.5118677614249225E-4</v>
      </c>
      <c r="M236" s="531">
        <f t="shared" si="50"/>
        <v>4.2264262847321891E-5</v>
      </c>
      <c r="N236" s="532">
        <f t="shared" si="51"/>
        <v>18.390507999999997</v>
      </c>
      <c r="O236" s="533">
        <f t="shared" si="61"/>
        <v>5.4933045164459857E-4</v>
      </c>
      <c r="P236" s="533">
        <f t="shared" si="52"/>
        <v>4.4072782135446138E-5</v>
      </c>
      <c r="Q236" s="532" t="str">
        <f t="shared" si="53"/>
        <v>--</v>
      </c>
      <c r="R236" s="534" t="str">
        <f t="shared" si="62"/>
        <v>--</v>
      </c>
      <c r="S236" s="533" t="str">
        <f t="shared" si="54"/>
        <v>--</v>
      </c>
      <c r="T236" s="532">
        <f t="shared" si="55"/>
        <v>18.390507999999997</v>
      </c>
      <c r="U236" s="534">
        <f t="shared" si="63"/>
        <v>5.1294266056806179E-4</v>
      </c>
      <c r="V236" s="533">
        <f t="shared" si="56"/>
        <v>4.431824587308054E-5</v>
      </c>
      <c r="W236" s="533"/>
      <c r="X236" s="535">
        <v>8.0229999999999996E-2</v>
      </c>
      <c r="Y236" s="535">
        <v>-1.4999999999999999E-2</v>
      </c>
      <c r="Z236" s="535">
        <v>8.6400000000000005E-2</v>
      </c>
    </row>
    <row r="237" spans="1:26" ht="14.5">
      <c r="A237" s="509">
        <v>233</v>
      </c>
      <c r="B237" s="524" t="s">
        <v>922</v>
      </c>
      <c r="C237" s="525" t="s">
        <v>208</v>
      </c>
      <c r="D237" s="526">
        <v>567.12</v>
      </c>
      <c r="E237" s="527">
        <v>3.14</v>
      </c>
      <c r="F237" s="101">
        <f t="shared" si="48"/>
        <v>5.5367470729298911E-3</v>
      </c>
      <c r="G237" s="102">
        <f t="shared" si="57"/>
        <v>0.15154999999999999</v>
      </c>
      <c r="H237" s="102">
        <f t="shared" si="58"/>
        <v>0.11</v>
      </c>
      <c r="I237" s="102">
        <f t="shared" si="59"/>
        <v>0.14349999999999999</v>
      </c>
      <c r="J237" s="528">
        <v>908.048</v>
      </c>
      <c r="K237" s="529">
        <f t="shared" si="49"/>
        <v>514.97218176000001</v>
      </c>
      <c r="L237" s="530">
        <f t="shared" si="60"/>
        <v>1.2634160975398831E-2</v>
      </c>
      <c r="M237" s="531">
        <f t="shared" si="50"/>
        <v>6.9952153799464535E-5</v>
      </c>
      <c r="N237" s="532">
        <f t="shared" si="51"/>
        <v>514.97218176000001</v>
      </c>
      <c r="O237" s="533">
        <f t="shared" si="61"/>
        <v>1.5382386456677822E-2</v>
      </c>
      <c r="P237" s="533">
        <f t="shared" si="52"/>
        <v>2.3312006675095236E-3</v>
      </c>
      <c r="Q237" s="532">
        <f t="shared" si="53"/>
        <v>514.97218176000001</v>
      </c>
      <c r="R237" s="534">
        <f t="shared" si="62"/>
        <v>1.5507315312508672E-2</v>
      </c>
      <c r="S237" s="533">
        <f t="shared" si="54"/>
        <v>1.7058046843759539E-3</v>
      </c>
      <c r="T237" s="532">
        <f t="shared" si="55"/>
        <v>514.97218176000001</v>
      </c>
      <c r="U237" s="534">
        <f t="shared" si="63"/>
        <v>1.4363453202625723E-2</v>
      </c>
      <c r="V237" s="533">
        <f t="shared" si="56"/>
        <v>2.0611555345767911E-3</v>
      </c>
      <c r="W237" s="533"/>
      <c r="X237" s="535">
        <v>0.15154999999999999</v>
      </c>
      <c r="Y237" s="535">
        <v>0.11</v>
      </c>
      <c r="Z237" s="535">
        <v>0.14349999999999999</v>
      </c>
    </row>
    <row r="238" spans="1:26" ht="14.5">
      <c r="A238" s="509">
        <v>234</v>
      </c>
      <c r="B238" s="524" t="s">
        <v>923</v>
      </c>
      <c r="C238" s="525" t="s">
        <v>924</v>
      </c>
      <c r="D238" s="526">
        <v>161.66</v>
      </c>
      <c r="E238" s="527">
        <v>6.06</v>
      </c>
      <c r="F238" s="101">
        <f t="shared" si="48"/>
        <v>3.7486081900284546E-2</v>
      </c>
      <c r="G238" s="102" t="str">
        <f t="shared" si="57"/>
        <v>NMF</v>
      </c>
      <c r="H238" s="102" t="str">
        <f t="shared" si="58"/>
        <v>NMF</v>
      </c>
      <c r="I238" s="102">
        <f t="shared" si="59"/>
        <v>4.4500000000000005E-2</v>
      </c>
      <c r="J238" s="528">
        <v>117.05800000000001</v>
      </c>
      <c r="K238" s="529">
        <f t="shared" si="49"/>
        <v>18.923596280000002</v>
      </c>
      <c r="L238" s="530">
        <f t="shared" si="60"/>
        <v>4.6426539161372062E-4</v>
      </c>
      <c r="M238" s="531">
        <f t="shared" si="50"/>
        <v>1.7403490493499609E-5</v>
      </c>
      <c r="N238" s="532" t="str">
        <f t="shared" si="51"/>
        <v>--</v>
      </c>
      <c r="O238" s="533" t="str">
        <f t="shared" si="61"/>
        <v>--</v>
      </c>
      <c r="P238" s="533" t="str">
        <f t="shared" si="52"/>
        <v>--</v>
      </c>
      <c r="Q238" s="532" t="str">
        <f t="shared" si="53"/>
        <v>--</v>
      </c>
      <c r="R238" s="534" t="str">
        <f t="shared" si="62"/>
        <v>--</v>
      </c>
      <c r="S238" s="533" t="str">
        <f t="shared" si="54"/>
        <v>--</v>
      </c>
      <c r="T238" s="532">
        <f t="shared" si="55"/>
        <v>18.923596280000002</v>
      </c>
      <c r="U238" s="534">
        <f t="shared" si="63"/>
        <v>5.2781140267463408E-4</v>
      </c>
      <c r="V238" s="533">
        <f t="shared" si="56"/>
        <v>2.348760741902122E-5</v>
      </c>
      <c r="W238" s="533"/>
      <c r="X238" s="535">
        <v>-1.9699999999999999E-2</v>
      </c>
      <c r="Y238" s="535">
        <v>-0.13500000000000001</v>
      </c>
      <c r="Z238" s="535">
        <v>4.4500000000000005E-2</v>
      </c>
    </row>
    <row r="239" spans="1:26" ht="14.5">
      <c r="A239" s="509">
        <v>235</v>
      </c>
      <c r="B239" s="524" t="s">
        <v>925</v>
      </c>
      <c r="C239" s="525" t="s">
        <v>926</v>
      </c>
      <c r="D239" s="526">
        <v>259.3</v>
      </c>
      <c r="E239" s="527">
        <v>2.52</v>
      </c>
      <c r="F239" s="101">
        <f t="shared" si="48"/>
        <v>9.7184728114153487E-3</v>
      </c>
      <c r="G239" s="102">
        <f t="shared" si="57"/>
        <v>0.10400000000000001</v>
      </c>
      <c r="H239" s="102">
        <f t="shared" si="58"/>
        <v>0.09</v>
      </c>
      <c r="I239" s="102">
        <f t="shared" si="59"/>
        <v>7.7399999999999997E-2</v>
      </c>
      <c r="J239" s="528">
        <v>273.89600000000002</v>
      </c>
      <c r="K239" s="529">
        <f t="shared" si="49"/>
        <v>71.021232800000007</v>
      </c>
      <c r="L239" s="530">
        <f t="shared" si="60"/>
        <v>1.7424119586417861E-3</v>
      </c>
      <c r="M239" s="531">
        <f t="shared" si="50"/>
        <v>1.6933583246345164E-5</v>
      </c>
      <c r="N239" s="532">
        <f t="shared" si="51"/>
        <v>71.021232800000007</v>
      </c>
      <c r="O239" s="533">
        <f t="shared" si="61"/>
        <v>2.121427308608342E-3</v>
      </c>
      <c r="P239" s="533">
        <f t="shared" si="52"/>
        <v>2.2062844009526758E-4</v>
      </c>
      <c r="Q239" s="532">
        <f t="shared" si="53"/>
        <v>71.021232800000007</v>
      </c>
      <c r="R239" s="534">
        <f t="shared" si="62"/>
        <v>2.1386565914078069E-3</v>
      </c>
      <c r="S239" s="533">
        <f t="shared" si="54"/>
        <v>1.924790932267026E-4</v>
      </c>
      <c r="T239" s="532">
        <f t="shared" si="55"/>
        <v>71.021232800000007</v>
      </c>
      <c r="U239" s="534">
        <f t="shared" si="63"/>
        <v>1.9809034154606121E-3</v>
      </c>
      <c r="V239" s="533">
        <f t="shared" si="56"/>
        <v>1.5332192435665138E-4</v>
      </c>
      <c r="W239" s="533"/>
      <c r="X239" s="535">
        <v>0.10400000000000001</v>
      </c>
      <c r="Y239" s="535">
        <v>0.09</v>
      </c>
      <c r="Z239" s="535">
        <v>7.7399999999999997E-2</v>
      </c>
    </row>
    <row r="240" spans="1:26" ht="14.5">
      <c r="A240" s="509">
        <v>236</v>
      </c>
      <c r="B240" s="524" t="s">
        <v>927</v>
      </c>
      <c r="C240" s="525" t="s">
        <v>928</v>
      </c>
      <c r="D240" s="526">
        <v>61.71</v>
      </c>
      <c r="E240" s="527">
        <v>1.24</v>
      </c>
      <c r="F240" s="101">
        <f t="shared" si="48"/>
        <v>2.009398800842651E-2</v>
      </c>
      <c r="G240" s="102">
        <f t="shared" si="57"/>
        <v>7.1900000000000006E-2</v>
      </c>
      <c r="H240" s="102">
        <f t="shared" si="58"/>
        <v>7.4999999999999997E-2</v>
      </c>
      <c r="I240" s="102">
        <f t="shared" si="59"/>
        <v>7.1800000000000003E-2</v>
      </c>
      <c r="J240" s="528">
        <v>210.94200000000001</v>
      </c>
      <c r="K240" s="529">
        <f t="shared" si="49"/>
        <v>13.01723082</v>
      </c>
      <c r="L240" s="530">
        <f t="shared" si="60"/>
        <v>3.1936053142080101E-4</v>
      </c>
      <c r="M240" s="531">
        <f t="shared" si="50"/>
        <v>6.4172266887342933E-6</v>
      </c>
      <c r="N240" s="532">
        <f t="shared" si="51"/>
        <v>13.01723082</v>
      </c>
      <c r="O240" s="533">
        <f t="shared" si="61"/>
        <v>3.8882891573808559E-4</v>
      </c>
      <c r="P240" s="533">
        <f t="shared" si="52"/>
        <v>2.7956799041568356E-5</v>
      </c>
      <c r="Q240" s="532">
        <f t="shared" si="53"/>
        <v>13.01723082</v>
      </c>
      <c r="R240" s="534">
        <f t="shared" si="62"/>
        <v>3.9198681010603145E-4</v>
      </c>
      <c r="S240" s="533">
        <f t="shared" si="54"/>
        <v>2.9399010757952357E-5</v>
      </c>
      <c r="T240" s="532">
        <f t="shared" si="55"/>
        <v>13.01723082</v>
      </c>
      <c r="U240" s="534">
        <f t="shared" si="63"/>
        <v>3.6307278787727745E-4</v>
      </c>
      <c r="V240" s="533">
        <f t="shared" si="56"/>
        <v>2.6068626169588523E-5</v>
      </c>
      <c r="W240" s="533"/>
      <c r="X240" s="535">
        <v>7.1900000000000006E-2</v>
      </c>
      <c r="Y240" s="535">
        <v>7.4999999999999997E-2</v>
      </c>
      <c r="Z240" s="535">
        <v>7.1800000000000003E-2</v>
      </c>
    </row>
    <row r="241" spans="1:26" ht="14.5">
      <c r="A241" s="509">
        <v>237</v>
      </c>
      <c r="B241" s="524" t="s">
        <v>929</v>
      </c>
      <c r="C241" s="525" t="s">
        <v>411</v>
      </c>
      <c r="D241" s="526">
        <v>313.49</v>
      </c>
      <c r="E241" s="527">
        <v>6.4</v>
      </c>
      <c r="F241" s="101">
        <f t="shared" si="48"/>
        <v>2.0415324252767233E-2</v>
      </c>
      <c r="G241" s="102">
        <f t="shared" si="57"/>
        <v>7.4730000000000005E-2</v>
      </c>
      <c r="H241" s="102">
        <f t="shared" si="58"/>
        <v>8.5000000000000006E-2</v>
      </c>
      <c r="I241" s="102">
        <f t="shared" si="59"/>
        <v>7.8200000000000006E-2</v>
      </c>
      <c r="J241" s="528">
        <v>715.072</v>
      </c>
      <c r="K241" s="529">
        <f t="shared" si="49"/>
        <v>224.16792128</v>
      </c>
      <c r="L241" s="530">
        <f t="shared" si="60"/>
        <v>5.4996632891754381E-3</v>
      </c>
      <c r="M241" s="531">
        <f t="shared" si="50"/>
        <v>1.1227740932955693E-4</v>
      </c>
      <c r="N241" s="532">
        <f t="shared" si="51"/>
        <v>224.16792128</v>
      </c>
      <c r="O241" s="533">
        <f t="shared" si="61"/>
        <v>6.6959686725876861E-3</v>
      </c>
      <c r="P241" s="533">
        <f t="shared" si="52"/>
        <v>5.0038973890247779E-4</v>
      </c>
      <c r="Q241" s="532">
        <f t="shared" si="53"/>
        <v>224.16792128</v>
      </c>
      <c r="R241" s="534">
        <f t="shared" si="62"/>
        <v>6.7503503322411829E-3</v>
      </c>
      <c r="S241" s="533">
        <f t="shared" si="54"/>
        <v>5.7377977824050064E-4</v>
      </c>
      <c r="T241" s="532">
        <f t="shared" si="55"/>
        <v>224.16792128</v>
      </c>
      <c r="U241" s="534">
        <f t="shared" si="63"/>
        <v>6.2524259773234685E-3</v>
      </c>
      <c r="V241" s="533">
        <f t="shared" si="56"/>
        <v>4.8893971142669531E-4</v>
      </c>
      <c r="W241" s="533"/>
      <c r="X241" s="535">
        <v>7.4730000000000005E-2</v>
      </c>
      <c r="Y241" s="535">
        <v>8.5000000000000006E-2</v>
      </c>
      <c r="Z241" s="535">
        <v>7.8200000000000006E-2</v>
      </c>
    </row>
    <row r="242" spans="1:26" ht="14.5">
      <c r="A242" s="509">
        <v>238</v>
      </c>
      <c r="B242" s="524" t="s">
        <v>930</v>
      </c>
      <c r="C242" s="525" t="s">
        <v>931</v>
      </c>
      <c r="D242" s="526">
        <v>49.14</v>
      </c>
      <c r="E242" s="527">
        <v>1.82</v>
      </c>
      <c r="F242" s="101">
        <f t="shared" si="48"/>
        <v>3.7037037037037035E-2</v>
      </c>
      <c r="G242" s="102" t="str">
        <f t="shared" si="57"/>
        <v>NMF</v>
      </c>
      <c r="H242" s="102" t="str">
        <f t="shared" si="58"/>
        <v>NMF</v>
      </c>
      <c r="I242" s="102" t="str">
        <f t="shared" si="59"/>
        <v>NMF</v>
      </c>
      <c r="J242" s="528">
        <v>537.81899999999996</v>
      </c>
      <c r="K242" s="529">
        <f t="shared" si="49"/>
        <v>26.428425659999998</v>
      </c>
      <c r="L242" s="530">
        <f t="shared" si="60"/>
        <v>6.4838644870804656E-4</v>
      </c>
      <c r="M242" s="531">
        <f t="shared" si="50"/>
        <v>2.4014312915112835E-5</v>
      </c>
      <c r="N242" s="532" t="str">
        <f t="shared" si="51"/>
        <v>--</v>
      </c>
      <c r="O242" s="533" t="str">
        <f t="shared" si="61"/>
        <v>--</v>
      </c>
      <c r="P242" s="533" t="str">
        <f t="shared" si="52"/>
        <v>--</v>
      </c>
      <c r="Q242" s="532" t="str">
        <f t="shared" si="53"/>
        <v>--</v>
      </c>
      <c r="R242" s="534" t="str">
        <f t="shared" si="62"/>
        <v>--</v>
      </c>
      <c r="S242" s="533" t="str">
        <f t="shared" si="54"/>
        <v>--</v>
      </c>
      <c r="T242" s="532" t="str">
        <f t="shared" si="55"/>
        <v>--</v>
      </c>
      <c r="U242" s="534" t="str">
        <f t="shared" si="63"/>
        <v>--</v>
      </c>
      <c r="V242" s="533" t="str">
        <f t="shared" si="56"/>
        <v>--</v>
      </c>
      <c r="W242" s="533"/>
      <c r="X242" s="535">
        <v>-0.33200000000000002</v>
      </c>
      <c r="Y242" s="535">
        <v>-5.0000000000000001E-3</v>
      </c>
      <c r="Z242" s="535" t="s">
        <v>36</v>
      </c>
    </row>
    <row r="243" spans="1:26" ht="14.5">
      <c r="A243" s="509">
        <v>239</v>
      </c>
      <c r="B243" s="524" t="s">
        <v>932</v>
      </c>
      <c r="C243" s="525" t="s">
        <v>413</v>
      </c>
      <c r="D243" s="526">
        <v>690.25</v>
      </c>
      <c r="E243" s="527">
        <v>3.11</v>
      </c>
      <c r="F243" s="101">
        <f t="shared" si="48"/>
        <v>4.5056139080043456E-3</v>
      </c>
      <c r="G243" s="102">
        <f t="shared" si="57"/>
        <v>0.14117000000000002</v>
      </c>
      <c r="H243" s="102">
        <f t="shared" si="58"/>
        <v>0.1</v>
      </c>
      <c r="I243" s="102">
        <f t="shared" si="59"/>
        <v>0.1411</v>
      </c>
      <c r="J243" s="528">
        <v>125.32599999999999</v>
      </c>
      <c r="K243" s="529">
        <f t="shared" si="49"/>
        <v>86.506271499999997</v>
      </c>
      <c r="L243" s="530">
        <f t="shared" si="60"/>
        <v>2.1223168905498513E-3</v>
      </c>
      <c r="M243" s="531">
        <f t="shared" si="50"/>
        <v>9.5623404992539459E-6</v>
      </c>
      <c r="N243" s="532">
        <f t="shared" si="51"/>
        <v>86.506271499999997</v>
      </c>
      <c r="O243" s="533">
        <f t="shared" si="61"/>
        <v>2.5839704478628467E-3</v>
      </c>
      <c r="P243" s="533">
        <f t="shared" si="52"/>
        <v>3.6477910812479809E-4</v>
      </c>
      <c r="Q243" s="532">
        <f t="shared" si="53"/>
        <v>86.506271499999997</v>
      </c>
      <c r="R243" s="534">
        <f t="shared" si="62"/>
        <v>2.6049562989504779E-3</v>
      </c>
      <c r="S243" s="533">
        <f t="shared" si="54"/>
        <v>2.6049562989504782E-4</v>
      </c>
      <c r="T243" s="532">
        <f t="shared" si="55"/>
        <v>86.506271499999997</v>
      </c>
      <c r="U243" s="534">
        <f t="shared" si="63"/>
        <v>2.4128075776391335E-3</v>
      </c>
      <c r="V243" s="533">
        <f t="shared" si="56"/>
        <v>3.4044714920488175E-4</v>
      </c>
      <c r="W243" s="533"/>
      <c r="X243" s="535">
        <v>0.14117000000000002</v>
      </c>
      <c r="Y243" s="535">
        <v>0.1</v>
      </c>
      <c r="Z243" s="535">
        <v>0.1411</v>
      </c>
    </row>
    <row r="244" spans="1:26" ht="14.5">
      <c r="A244" s="509">
        <v>240</v>
      </c>
      <c r="B244" s="524" t="s">
        <v>933</v>
      </c>
      <c r="C244" s="525" t="s">
        <v>934</v>
      </c>
      <c r="D244" s="526">
        <v>471.67</v>
      </c>
      <c r="E244" s="527">
        <v>3.76</v>
      </c>
      <c r="F244" s="101">
        <f t="shared" si="48"/>
        <v>7.9716751118366642E-3</v>
      </c>
      <c r="G244" s="102">
        <f t="shared" si="57"/>
        <v>0.14300000000000002</v>
      </c>
      <c r="H244" s="102">
        <f t="shared" si="58"/>
        <v>0.09</v>
      </c>
      <c r="I244" s="102">
        <f t="shared" si="59"/>
        <v>0.12470000000000001</v>
      </c>
      <c r="J244" s="528">
        <v>179.9</v>
      </c>
      <c r="K244" s="529">
        <f t="shared" si="49"/>
        <v>84.85343300000001</v>
      </c>
      <c r="L244" s="530">
        <f t="shared" si="60"/>
        <v>2.0817666852863976E-3</v>
      </c>
      <c r="M244" s="531">
        <f t="shared" si="50"/>
        <v>1.6595167673748285E-5</v>
      </c>
      <c r="N244" s="532">
        <f t="shared" si="51"/>
        <v>84.85343300000001</v>
      </c>
      <c r="O244" s="533">
        <f t="shared" si="61"/>
        <v>2.5345996246261765E-3</v>
      </c>
      <c r="P244" s="533">
        <f t="shared" si="52"/>
        <v>3.6244774632154331E-4</v>
      </c>
      <c r="Q244" s="532">
        <f t="shared" si="53"/>
        <v>84.85343300000001</v>
      </c>
      <c r="R244" s="534">
        <f t="shared" si="62"/>
        <v>2.5551845079916824E-3</v>
      </c>
      <c r="S244" s="533">
        <f t="shared" si="54"/>
        <v>2.2996660571925141E-4</v>
      </c>
      <c r="T244" s="532">
        <f t="shared" si="55"/>
        <v>84.85343300000001</v>
      </c>
      <c r="U244" s="534">
        <f t="shared" si="63"/>
        <v>2.3667070904922144E-3</v>
      </c>
      <c r="V244" s="533">
        <f t="shared" si="56"/>
        <v>2.9512837418437914E-4</v>
      </c>
      <c r="W244" s="533"/>
      <c r="X244" s="535">
        <v>0.14300000000000002</v>
      </c>
      <c r="Y244" s="535">
        <v>0.09</v>
      </c>
      <c r="Z244" s="535">
        <v>0.12470000000000001</v>
      </c>
    </row>
    <row r="245" spans="1:26" ht="14.5">
      <c r="A245" s="509">
        <v>241</v>
      </c>
      <c r="B245" s="524" t="s">
        <v>935</v>
      </c>
      <c r="C245" s="525" t="s">
        <v>420</v>
      </c>
      <c r="D245" s="526">
        <v>67.22</v>
      </c>
      <c r="E245" s="527">
        <v>1.88</v>
      </c>
      <c r="F245" s="101">
        <f t="shared" si="48"/>
        <v>2.7967866706337399E-2</v>
      </c>
      <c r="G245" s="102">
        <f t="shared" si="57"/>
        <v>2.2499999999999999E-2</v>
      </c>
      <c r="H245" s="102">
        <f t="shared" si="58"/>
        <v>6.5000000000000002E-2</v>
      </c>
      <c r="I245" s="102">
        <f t="shared" si="59"/>
        <v>4.2699999999999995E-2</v>
      </c>
      <c r="J245" s="528">
        <v>1294.8150000000001</v>
      </c>
      <c r="K245" s="529">
        <f t="shared" si="49"/>
        <v>87.037464300000011</v>
      </c>
      <c r="L245" s="530">
        <f t="shared" si="60"/>
        <v>2.1353490029277209E-3</v>
      </c>
      <c r="M245" s="531">
        <f t="shared" si="50"/>
        <v>5.9721156285392965E-5</v>
      </c>
      <c r="N245" s="532">
        <f t="shared" si="51"/>
        <v>87.037464300000011</v>
      </c>
      <c r="O245" s="533">
        <f t="shared" si="61"/>
        <v>2.5998373494587335E-3</v>
      </c>
      <c r="P245" s="533">
        <f t="shared" si="52"/>
        <v>5.8496340362821501E-5</v>
      </c>
      <c r="Q245" s="532">
        <f t="shared" si="53"/>
        <v>87.037464300000011</v>
      </c>
      <c r="R245" s="534">
        <f t="shared" si="62"/>
        <v>2.62095206441723E-3</v>
      </c>
      <c r="S245" s="533">
        <f t="shared" si="54"/>
        <v>1.7036188418711995E-4</v>
      </c>
      <c r="T245" s="532">
        <f t="shared" si="55"/>
        <v>87.037464300000011</v>
      </c>
      <c r="U245" s="534">
        <f t="shared" si="63"/>
        <v>2.4276234515729373E-3</v>
      </c>
      <c r="V245" s="533">
        <f t="shared" si="56"/>
        <v>1.0365952138216442E-4</v>
      </c>
      <c r="W245" s="533"/>
      <c r="X245" s="535">
        <v>2.2499999999999999E-2</v>
      </c>
      <c r="Y245" s="535">
        <v>6.5000000000000002E-2</v>
      </c>
      <c r="Z245" s="535">
        <v>4.2699999999999995E-2</v>
      </c>
    </row>
    <row r="246" spans="1:26" ht="14.5">
      <c r="A246" s="509">
        <v>242</v>
      </c>
      <c r="B246" s="524" t="s">
        <v>936</v>
      </c>
      <c r="C246" s="525" t="s">
        <v>937</v>
      </c>
      <c r="D246" s="526">
        <v>83.62</v>
      </c>
      <c r="E246" s="527">
        <v>2.82</v>
      </c>
      <c r="F246" s="101">
        <f t="shared" si="48"/>
        <v>3.3723989476201859E-2</v>
      </c>
      <c r="G246" s="102">
        <f t="shared" si="57"/>
        <v>6.8669999999999995E-2</v>
      </c>
      <c r="H246" s="102">
        <f t="shared" si="58"/>
        <v>0.06</v>
      </c>
      <c r="I246" s="102">
        <f t="shared" si="59"/>
        <v>7.2599999999999998E-2</v>
      </c>
      <c r="J246" s="528">
        <v>1282.5440000000001</v>
      </c>
      <c r="K246" s="529">
        <f t="shared" si="49"/>
        <v>107.24632928000003</v>
      </c>
      <c r="L246" s="530">
        <f t="shared" si="60"/>
        <v>2.631146761196558E-3</v>
      </c>
      <c r="M246" s="531">
        <f t="shared" si="50"/>
        <v>8.8732765684935327E-5</v>
      </c>
      <c r="N246" s="532">
        <f t="shared" si="51"/>
        <v>107.24632928000003</v>
      </c>
      <c r="O246" s="533">
        <f t="shared" si="61"/>
        <v>3.2034827151380348E-3</v>
      </c>
      <c r="P246" s="533">
        <f t="shared" si="52"/>
        <v>2.1998315804852884E-4</v>
      </c>
      <c r="Q246" s="532">
        <f t="shared" si="53"/>
        <v>107.24632928000003</v>
      </c>
      <c r="R246" s="534">
        <f t="shared" si="62"/>
        <v>3.229499967493723E-3</v>
      </c>
      <c r="S246" s="533">
        <f t="shared" si="54"/>
        <v>1.9376999804962338E-4</v>
      </c>
      <c r="T246" s="532">
        <f t="shared" si="55"/>
        <v>107.24632928000003</v>
      </c>
      <c r="U246" s="534">
        <f t="shared" si="63"/>
        <v>2.9912831922338226E-3</v>
      </c>
      <c r="V246" s="533">
        <f t="shared" si="56"/>
        <v>2.1716715975617551E-4</v>
      </c>
      <c r="W246" s="533"/>
      <c r="X246" s="535">
        <v>6.8669999999999995E-2</v>
      </c>
      <c r="Y246" s="535">
        <v>0.06</v>
      </c>
      <c r="Z246" s="535">
        <v>7.2599999999999998E-2</v>
      </c>
    </row>
    <row r="247" spans="1:26" ht="14.5">
      <c r="A247" s="509">
        <v>243</v>
      </c>
      <c r="B247" s="524" t="s">
        <v>1338</v>
      </c>
      <c r="C247" s="525" t="s">
        <v>938</v>
      </c>
      <c r="D247" s="526">
        <v>77.59</v>
      </c>
      <c r="E247" s="527">
        <v>2.27</v>
      </c>
      <c r="F247" s="101">
        <f t="shared" si="48"/>
        <v>2.9256347467457144E-2</v>
      </c>
      <c r="G247" s="102">
        <f t="shared" si="57"/>
        <v>0.1295</v>
      </c>
      <c r="H247" s="102">
        <f t="shared" si="58"/>
        <v>7.0000000000000007E-2</v>
      </c>
      <c r="I247" s="102">
        <f t="shared" si="59"/>
        <v>0.1376</v>
      </c>
      <c r="J247" s="528">
        <v>671.298</v>
      </c>
      <c r="K247" s="529">
        <f t="shared" si="49"/>
        <v>52.086011820000003</v>
      </c>
      <c r="L247" s="530">
        <f t="shared" si="60"/>
        <v>1.2778613703974654E-3</v>
      </c>
      <c r="M247" s="531">
        <f t="shared" si="50"/>
        <v>3.7385556267589204E-5</v>
      </c>
      <c r="N247" s="532">
        <f t="shared" si="51"/>
        <v>52.086011820000003</v>
      </c>
      <c r="O247" s="533">
        <f t="shared" si="61"/>
        <v>1.5558261031966328E-3</v>
      </c>
      <c r="P247" s="533">
        <f t="shared" si="52"/>
        <v>2.0147948036396395E-4</v>
      </c>
      <c r="Q247" s="532">
        <f t="shared" si="53"/>
        <v>52.086011820000003</v>
      </c>
      <c r="R247" s="534">
        <f t="shared" si="62"/>
        <v>1.5684618262355472E-3</v>
      </c>
      <c r="S247" s="533">
        <f t="shared" si="54"/>
        <v>1.0979232783648831E-4</v>
      </c>
      <c r="T247" s="532">
        <f t="shared" si="55"/>
        <v>52.086011820000003</v>
      </c>
      <c r="U247" s="534">
        <f t="shared" si="63"/>
        <v>1.4527677800597093E-3</v>
      </c>
      <c r="V247" s="533">
        <f t="shared" si="56"/>
        <v>1.99900846536216E-4</v>
      </c>
      <c r="W247" s="533"/>
      <c r="X247" s="535">
        <v>0.1295</v>
      </c>
      <c r="Y247" s="535">
        <v>7.0000000000000007E-2</v>
      </c>
      <c r="Z247" s="535">
        <v>0.1376</v>
      </c>
    </row>
    <row r="248" spans="1:26" ht="14.5">
      <c r="A248" s="509">
        <v>244</v>
      </c>
      <c r="B248" s="524" t="s">
        <v>1339</v>
      </c>
      <c r="C248" s="525" t="s">
        <v>1340</v>
      </c>
      <c r="D248" s="526">
        <v>598.01</v>
      </c>
      <c r="E248" s="527">
        <v>2.15</v>
      </c>
      <c r="F248" s="101">
        <f t="shared" si="48"/>
        <v>3.5952576043878862E-3</v>
      </c>
      <c r="G248" s="102">
        <f t="shared" si="57"/>
        <v>0.11650000000000001</v>
      </c>
      <c r="H248" s="102">
        <f t="shared" si="58"/>
        <v>0.17</v>
      </c>
      <c r="I248" s="102">
        <f t="shared" si="59"/>
        <v>0.161</v>
      </c>
      <c r="J248" s="528">
        <v>2514.3270000000002</v>
      </c>
      <c r="K248" s="529">
        <f t="shared" si="49"/>
        <v>1503.5926892700002</v>
      </c>
      <c r="L248" s="530">
        <f t="shared" si="60"/>
        <v>3.688865680617151E-2</v>
      </c>
      <c r="M248" s="531">
        <f t="shared" si="50"/>
        <v>1.3262422389804309E-4</v>
      </c>
      <c r="N248" s="532">
        <f t="shared" si="51"/>
        <v>1503.5926892700002</v>
      </c>
      <c r="O248" s="533">
        <f t="shared" si="61"/>
        <v>4.4912802359032486E-2</v>
      </c>
      <c r="P248" s="533">
        <f t="shared" si="52"/>
        <v>5.2323414748272849E-3</v>
      </c>
      <c r="Q248" s="532">
        <f t="shared" si="53"/>
        <v>1503.5926892700002</v>
      </c>
      <c r="R248" s="534">
        <f t="shared" si="62"/>
        <v>4.5277564031525462E-2</v>
      </c>
      <c r="S248" s="533">
        <f t="shared" si="54"/>
        <v>7.6971858853593289E-3</v>
      </c>
      <c r="T248" s="532">
        <f t="shared" si="55"/>
        <v>1503.5926892700002</v>
      </c>
      <c r="U248" s="534">
        <f t="shared" si="63"/>
        <v>4.1937766724271082E-2</v>
      </c>
      <c r="V248" s="533">
        <f t="shared" si="56"/>
        <v>6.7519804426076444E-3</v>
      </c>
      <c r="W248" s="533"/>
      <c r="X248" s="535">
        <v>0.11650000000000001</v>
      </c>
      <c r="Y248" s="535">
        <v>0.17</v>
      </c>
      <c r="Z248" s="535">
        <v>0.161</v>
      </c>
    </row>
    <row r="249" spans="1:26" ht="14.5">
      <c r="A249" s="509">
        <v>245</v>
      </c>
      <c r="B249" s="524" t="s">
        <v>939</v>
      </c>
      <c r="C249" s="525" t="s">
        <v>408</v>
      </c>
      <c r="D249" s="526">
        <v>76.22</v>
      </c>
      <c r="E249" s="527">
        <v>1.8</v>
      </c>
      <c r="F249" s="101">
        <f t="shared" si="48"/>
        <v>2.3615848858567306E-2</v>
      </c>
      <c r="G249" s="102">
        <f t="shared" si="57"/>
        <v>6.7500000000000004E-2</v>
      </c>
      <c r="H249" s="102">
        <f t="shared" si="58"/>
        <v>0.06</v>
      </c>
      <c r="I249" s="102">
        <f t="shared" si="59"/>
        <v>6.7900000000000002E-2</v>
      </c>
      <c r="J249" s="528">
        <v>252.68199999999999</v>
      </c>
      <c r="K249" s="529">
        <f t="shared" si="49"/>
        <v>19.259422039999997</v>
      </c>
      <c r="L249" s="530">
        <f t="shared" si="60"/>
        <v>4.7250443221009785E-4</v>
      </c>
      <c r="M249" s="531">
        <f t="shared" si="50"/>
        <v>1.1158593256076833E-5</v>
      </c>
      <c r="N249" s="532">
        <f t="shared" si="51"/>
        <v>19.259422039999997</v>
      </c>
      <c r="O249" s="533">
        <f t="shared" si="61"/>
        <v>5.7528519645281878E-4</v>
      </c>
      <c r="P249" s="533">
        <f t="shared" si="52"/>
        <v>3.8831750760565269E-5</v>
      </c>
      <c r="Q249" s="532">
        <f t="shared" si="53"/>
        <v>19.259422039999997</v>
      </c>
      <c r="R249" s="534">
        <f t="shared" si="62"/>
        <v>5.799574052529089E-4</v>
      </c>
      <c r="S249" s="533">
        <f t="shared" si="54"/>
        <v>3.4797444315174529E-5</v>
      </c>
      <c r="T249" s="532">
        <f t="shared" si="55"/>
        <v>19.259422039999997</v>
      </c>
      <c r="U249" s="534">
        <f t="shared" si="63"/>
        <v>5.3717815637288374E-4</v>
      </c>
      <c r="V249" s="533">
        <f t="shared" si="56"/>
        <v>3.6474396817718804E-5</v>
      </c>
      <c r="W249" s="533"/>
      <c r="X249" s="535">
        <v>6.7500000000000004E-2</v>
      </c>
      <c r="Y249" s="535">
        <v>0.06</v>
      </c>
      <c r="Z249" s="535">
        <v>6.7900000000000002E-2</v>
      </c>
    </row>
    <row r="250" spans="1:26" ht="14.5">
      <c r="A250" s="509">
        <v>246</v>
      </c>
      <c r="B250" s="524" t="s">
        <v>940</v>
      </c>
      <c r="C250" s="525" t="s">
        <v>941</v>
      </c>
      <c r="D250" s="526">
        <v>226.24</v>
      </c>
      <c r="E250" s="527">
        <v>3.04</v>
      </c>
      <c r="F250" s="101">
        <f t="shared" si="48"/>
        <v>1.3437057991513436E-2</v>
      </c>
      <c r="G250" s="102">
        <f t="shared" si="57"/>
        <v>0.1125</v>
      </c>
      <c r="H250" s="102">
        <f t="shared" si="58"/>
        <v>0.1</v>
      </c>
      <c r="I250" s="102">
        <f t="shared" si="59"/>
        <v>0.113</v>
      </c>
      <c r="J250" s="528">
        <v>37.201000000000001</v>
      </c>
      <c r="K250" s="529">
        <f t="shared" si="49"/>
        <v>8.4163542400000004</v>
      </c>
      <c r="L250" s="530">
        <f t="shared" si="60"/>
        <v>2.0648411324030835E-4</v>
      </c>
      <c r="M250" s="531">
        <f t="shared" si="50"/>
        <v>2.7745390039362505E-6</v>
      </c>
      <c r="N250" s="532">
        <f t="shared" si="51"/>
        <v>8.4163542400000004</v>
      </c>
      <c r="O250" s="533">
        <f t="shared" si="61"/>
        <v>2.5139923681608646E-4</v>
      </c>
      <c r="P250" s="533">
        <f t="shared" si="52"/>
        <v>2.8282414141809728E-5</v>
      </c>
      <c r="Q250" s="532">
        <f t="shared" si="53"/>
        <v>8.4163542400000004</v>
      </c>
      <c r="R250" s="534">
        <f t="shared" si="62"/>
        <v>2.5344098886155976E-4</v>
      </c>
      <c r="S250" s="533">
        <f t="shared" si="54"/>
        <v>2.5344098886155977E-5</v>
      </c>
      <c r="T250" s="532">
        <f t="shared" si="55"/>
        <v>8.4163542400000004</v>
      </c>
      <c r="U250" s="534">
        <f t="shared" si="63"/>
        <v>2.347464864020553E-4</v>
      </c>
      <c r="V250" s="533">
        <f t="shared" si="56"/>
        <v>2.6526352963432251E-5</v>
      </c>
      <c r="W250" s="533"/>
      <c r="X250" s="535">
        <v>0.1125</v>
      </c>
      <c r="Y250" s="535">
        <v>0.1</v>
      </c>
      <c r="Z250" s="535">
        <v>0.113</v>
      </c>
    </row>
    <row r="251" spans="1:26" ht="14.5">
      <c r="A251" s="509">
        <v>247</v>
      </c>
      <c r="B251" s="524" t="s">
        <v>1341</v>
      </c>
      <c r="C251" s="525" t="s">
        <v>942</v>
      </c>
      <c r="D251" s="526">
        <v>541.55999999999995</v>
      </c>
      <c r="E251" s="527">
        <v>3.16</v>
      </c>
      <c r="F251" s="101">
        <f t="shared" si="48"/>
        <v>5.8349951990545835E-3</v>
      </c>
      <c r="G251" s="102">
        <f t="shared" si="57"/>
        <v>9.8000000000000004E-2</v>
      </c>
      <c r="H251" s="102">
        <f t="shared" si="58"/>
        <v>0.09</v>
      </c>
      <c r="I251" s="102">
        <f t="shared" si="59"/>
        <v>5.8299999999999998E-2</v>
      </c>
      <c r="J251" s="528">
        <v>60.284999999999997</v>
      </c>
      <c r="K251" s="529">
        <f t="shared" si="49"/>
        <v>32.647944599999995</v>
      </c>
      <c r="L251" s="530">
        <f t="shared" si="60"/>
        <v>8.0097411511159395E-4</v>
      </c>
      <c r="M251" s="531">
        <f t="shared" si="50"/>
        <v>4.6736801162431443E-6</v>
      </c>
      <c r="N251" s="532">
        <f t="shared" si="51"/>
        <v>32.647944599999995</v>
      </c>
      <c r="O251" s="533">
        <f t="shared" si="61"/>
        <v>9.752047171500554E-4</v>
      </c>
      <c r="P251" s="533">
        <f t="shared" si="52"/>
        <v>9.5570062280705436E-5</v>
      </c>
      <c r="Q251" s="532">
        <f t="shared" si="53"/>
        <v>32.647944599999995</v>
      </c>
      <c r="R251" s="534">
        <f t="shared" si="62"/>
        <v>9.8312489324610679E-4</v>
      </c>
      <c r="S251" s="533">
        <f t="shared" si="54"/>
        <v>8.8481240392149609E-5</v>
      </c>
      <c r="T251" s="532">
        <f t="shared" si="55"/>
        <v>32.647944599999995</v>
      </c>
      <c r="U251" s="534">
        <f t="shared" si="63"/>
        <v>9.1060690467075118E-4</v>
      </c>
      <c r="V251" s="533">
        <f t="shared" si="56"/>
        <v>5.308838254230479E-5</v>
      </c>
      <c r="W251" s="533"/>
      <c r="X251" s="535">
        <v>9.8000000000000004E-2</v>
      </c>
      <c r="Y251" s="535">
        <v>0.09</v>
      </c>
      <c r="Z251" s="535">
        <v>5.8299999999999998E-2</v>
      </c>
    </row>
    <row r="252" spans="1:26" ht="14.5">
      <c r="A252" s="509">
        <v>248</v>
      </c>
      <c r="B252" s="524" t="s">
        <v>943</v>
      </c>
      <c r="C252" s="525" t="s">
        <v>407</v>
      </c>
      <c r="D252" s="526">
        <v>228.43</v>
      </c>
      <c r="E252" s="527">
        <v>3.36</v>
      </c>
      <c r="F252" s="101">
        <f t="shared" si="48"/>
        <v>1.4709101256402398E-2</v>
      </c>
      <c r="G252" s="102">
        <f t="shared" si="57"/>
        <v>8.5000000000000006E-2</v>
      </c>
      <c r="H252" s="102">
        <f t="shared" si="58"/>
        <v>0.105</v>
      </c>
      <c r="I252" s="102">
        <f t="shared" si="59"/>
        <v>8.5199999999999998E-2</v>
      </c>
      <c r="J252" s="528">
        <v>492.72800000000001</v>
      </c>
      <c r="K252" s="529">
        <f t="shared" si="49"/>
        <v>112.55385704</v>
      </c>
      <c r="L252" s="530">
        <f t="shared" si="60"/>
        <v>2.7613599309100414E-3</v>
      </c>
      <c r="M252" s="531">
        <f t="shared" si="50"/>
        <v>4.0617122829128129E-5</v>
      </c>
      <c r="N252" s="532">
        <f t="shared" si="51"/>
        <v>112.55385704</v>
      </c>
      <c r="O252" s="533">
        <f t="shared" si="61"/>
        <v>3.3620202944978344E-3</v>
      </c>
      <c r="P252" s="533">
        <f t="shared" si="52"/>
        <v>2.8577172503231596E-4</v>
      </c>
      <c r="Q252" s="532">
        <f t="shared" si="53"/>
        <v>112.55385704</v>
      </c>
      <c r="R252" s="534">
        <f t="shared" si="62"/>
        <v>3.3893251180929654E-3</v>
      </c>
      <c r="S252" s="533">
        <f t="shared" si="54"/>
        <v>3.5587913739976135E-4</v>
      </c>
      <c r="T252" s="532">
        <f t="shared" si="55"/>
        <v>112.55385704</v>
      </c>
      <c r="U252" s="534">
        <f t="shared" si="63"/>
        <v>3.1393192013670795E-3</v>
      </c>
      <c r="V252" s="533">
        <f t="shared" si="56"/>
        <v>2.6746999595647517E-4</v>
      </c>
      <c r="W252" s="533"/>
      <c r="X252" s="535">
        <v>8.5000000000000006E-2</v>
      </c>
      <c r="Y252" s="535">
        <v>0.105</v>
      </c>
      <c r="Z252" s="535">
        <v>8.5199999999999998E-2</v>
      </c>
    </row>
    <row r="253" spans="1:26" ht="14.5">
      <c r="A253" s="509">
        <v>249</v>
      </c>
      <c r="B253" s="524" t="s">
        <v>944</v>
      </c>
      <c r="C253" s="525" t="s">
        <v>945</v>
      </c>
      <c r="D253" s="526">
        <v>141.12</v>
      </c>
      <c r="E253" s="527">
        <v>2.92</v>
      </c>
      <c r="F253" s="101">
        <f t="shared" si="48"/>
        <v>2.0691609977324263E-2</v>
      </c>
      <c r="G253" s="102">
        <f t="shared" si="57"/>
        <v>8.0500000000000002E-2</v>
      </c>
      <c r="H253" s="102" t="str">
        <f t="shared" si="58"/>
        <v>NMF</v>
      </c>
      <c r="I253" s="102">
        <f t="shared" si="59"/>
        <v>6.2899999999999998E-2</v>
      </c>
      <c r="J253" s="528">
        <v>538.18100000000004</v>
      </c>
      <c r="K253" s="529">
        <f t="shared" si="49"/>
        <v>75.948102720000009</v>
      </c>
      <c r="L253" s="530">
        <f t="shared" si="60"/>
        <v>1.863286192005988E-3</v>
      </c>
      <c r="M253" s="531">
        <f t="shared" si="50"/>
        <v>3.8554391161121632E-5</v>
      </c>
      <c r="N253" s="532">
        <f t="shared" si="51"/>
        <v>75.948102720000009</v>
      </c>
      <c r="O253" s="533">
        <f t="shared" si="61"/>
        <v>2.2685945145576171E-3</v>
      </c>
      <c r="P253" s="533">
        <f t="shared" si="52"/>
        <v>1.8262185842188818E-4</v>
      </c>
      <c r="Q253" s="532" t="str">
        <f t="shared" si="53"/>
        <v>--</v>
      </c>
      <c r="R253" s="534" t="str">
        <f t="shared" si="62"/>
        <v>--</v>
      </c>
      <c r="S253" s="533" t="str">
        <f t="shared" si="54"/>
        <v>--</v>
      </c>
      <c r="T253" s="532">
        <f t="shared" si="55"/>
        <v>75.948102720000009</v>
      </c>
      <c r="U253" s="534">
        <f t="shared" si="63"/>
        <v>2.118322227656423E-3</v>
      </c>
      <c r="V253" s="533">
        <f t="shared" si="56"/>
        <v>1.3324246811958899E-4</v>
      </c>
      <c r="W253" s="533"/>
      <c r="X253" s="535">
        <v>8.0500000000000002E-2</v>
      </c>
      <c r="Y253" s="535">
        <v>0.255</v>
      </c>
      <c r="Z253" s="535">
        <v>6.2899999999999998E-2</v>
      </c>
    </row>
    <row r="254" spans="1:26" ht="14.5">
      <c r="A254" s="509">
        <v>250</v>
      </c>
      <c r="B254" s="524" t="s">
        <v>946</v>
      </c>
      <c r="C254" s="525" t="s">
        <v>152</v>
      </c>
      <c r="D254" s="526">
        <v>60.4</v>
      </c>
      <c r="E254" s="527">
        <v>4.08</v>
      </c>
      <c r="F254" s="101">
        <f t="shared" si="48"/>
        <v>6.7549668874172186E-2</v>
      </c>
      <c r="G254" s="102">
        <f t="shared" si="57"/>
        <v>3.875E-2</v>
      </c>
      <c r="H254" s="102">
        <f t="shared" si="58"/>
        <v>0.05</v>
      </c>
      <c r="I254" s="102">
        <f t="shared" si="59"/>
        <v>3.2099999999999997E-2</v>
      </c>
      <c r="J254" s="528">
        <v>1684.452</v>
      </c>
      <c r="K254" s="529">
        <f t="shared" si="49"/>
        <v>101.74090080000001</v>
      </c>
      <c r="L254" s="530">
        <f t="shared" si="60"/>
        <v>2.4960783592158043E-3</v>
      </c>
      <c r="M254" s="531">
        <f t="shared" si="50"/>
        <v>1.6860926664901459E-4</v>
      </c>
      <c r="N254" s="532">
        <f t="shared" si="51"/>
        <v>101.74090080000001</v>
      </c>
      <c r="O254" s="533">
        <f t="shared" si="61"/>
        <v>3.0390337769458193E-3</v>
      </c>
      <c r="P254" s="533">
        <f t="shared" si="52"/>
        <v>1.1776255885665049E-4</v>
      </c>
      <c r="Q254" s="532">
        <f t="shared" si="53"/>
        <v>101.74090080000001</v>
      </c>
      <c r="R254" s="534">
        <f t="shared" si="62"/>
        <v>3.0637154486522489E-3</v>
      </c>
      <c r="S254" s="533">
        <f t="shared" si="54"/>
        <v>1.5318577243261247E-4</v>
      </c>
      <c r="T254" s="532">
        <f t="shared" si="55"/>
        <v>101.74090080000001</v>
      </c>
      <c r="U254" s="534">
        <f t="shared" si="63"/>
        <v>2.8377273942048402E-3</v>
      </c>
      <c r="V254" s="533">
        <f t="shared" si="56"/>
        <v>9.109104935397536E-5</v>
      </c>
      <c r="W254" s="533"/>
      <c r="X254" s="535">
        <v>3.875E-2</v>
      </c>
      <c r="Y254" s="535">
        <v>0.05</v>
      </c>
      <c r="Z254" s="535">
        <v>3.2099999999999997E-2</v>
      </c>
    </row>
    <row r="255" spans="1:26" ht="14.5">
      <c r="A255" s="509">
        <v>251</v>
      </c>
      <c r="B255" s="524" t="s">
        <v>947</v>
      </c>
      <c r="C255" s="525" t="s">
        <v>948</v>
      </c>
      <c r="D255" s="526">
        <v>32.25</v>
      </c>
      <c r="E255" s="527">
        <v>0.88</v>
      </c>
      <c r="F255" s="101">
        <f t="shared" si="48"/>
        <v>2.7286821705426356E-2</v>
      </c>
      <c r="G255" s="102" t="str">
        <f t="shared" si="57"/>
        <v>NMF</v>
      </c>
      <c r="H255" s="102" t="str">
        <f t="shared" si="58"/>
        <v>NMF</v>
      </c>
      <c r="I255" s="102">
        <f t="shared" si="59"/>
        <v>0.1</v>
      </c>
      <c r="J255" s="528">
        <v>317.23</v>
      </c>
      <c r="K255" s="529">
        <f t="shared" si="49"/>
        <v>10.230667500000001</v>
      </c>
      <c r="L255" s="530">
        <f t="shared" si="60"/>
        <v>2.509958880478327E-4</v>
      </c>
      <c r="M255" s="531">
        <f t="shared" si="50"/>
        <v>6.8488800459563647E-6</v>
      </c>
      <c r="N255" s="532" t="str">
        <f t="shared" si="51"/>
        <v>--</v>
      </c>
      <c r="O255" s="533" t="str">
        <f t="shared" si="61"/>
        <v>--</v>
      </c>
      <c r="P255" s="533" t="str">
        <f t="shared" si="52"/>
        <v>--</v>
      </c>
      <c r="Q255" s="532" t="str">
        <f t="shared" si="53"/>
        <v>--</v>
      </c>
      <c r="R255" s="534" t="str">
        <f t="shared" si="62"/>
        <v>--</v>
      </c>
      <c r="S255" s="533" t="str">
        <f t="shared" si="54"/>
        <v>--</v>
      </c>
      <c r="T255" s="532">
        <f t="shared" si="55"/>
        <v>10.230667500000001</v>
      </c>
      <c r="U255" s="534">
        <f t="shared" si="63"/>
        <v>2.8535078024148126E-4</v>
      </c>
      <c r="V255" s="533">
        <f t="shared" si="56"/>
        <v>2.8535078024148127E-5</v>
      </c>
      <c r="W255" s="533"/>
      <c r="X255" s="535">
        <v>-1.3000000000000001E-2</v>
      </c>
      <c r="Y255" s="535">
        <v>-0.09</v>
      </c>
      <c r="Z255" s="535">
        <v>0.1</v>
      </c>
    </row>
    <row r="256" spans="1:26" ht="14.5">
      <c r="A256" s="509">
        <v>252</v>
      </c>
      <c r="B256" s="524" t="s">
        <v>949</v>
      </c>
      <c r="C256" s="525" t="s">
        <v>950</v>
      </c>
      <c r="D256" s="526">
        <v>149.97</v>
      </c>
      <c r="E256" s="527">
        <v>3.64</v>
      </c>
      <c r="F256" s="101">
        <f t="shared" si="48"/>
        <v>2.4271520970860841E-2</v>
      </c>
      <c r="G256" s="102">
        <f t="shared" si="57"/>
        <v>1E-3</v>
      </c>
      <c r="H256" s="102" t="str">
        <f t="shared" si="58"/>
        <v>NMF</v>
      </c>
      <c r="I256" s="102">
        <f t="shared" si="59"/>
        <v>0.06</v>
      </c>
      <c r="J256" s="528">
        <v>307.214</v>
      </c>
      <c r="K256" s="529">
        <f t="shared" si="49"/>
        <v>46.072883580000003</v>
      </c>
      <c r="L256" s="530">
        <f t="shared" si="60"/>
        <v>1.1303372266850144E-3</v>
      </c>
      <c r="M256" s="531">
        <f t="shared" si="50"/>
        <v>2.7435003701630013E-5</v>
      </c>
      <c r="N256" s="532">
        <f t="shared" si="51"/>
        <v>46.072883580000003</v>
      </c>
      <c r="O256" s="533">
        <f t="shared" si="61"/>
        <v>1.3762120081495526E-3</v>
      </c>
      <c r="P256" s="533">
        <f t="shared" si="52"/>
        <v>1.3762120081495526E-6</v>
      </c>
      <c r="Q256" s="532" t="str">
        <f t="shared" si="53"/>
        <v>--</v>
      </c>
      <c r="R256" s="534" t="str">
        <f t="shared" si="62"/>
        <v>--</v>
      </c>
      <c r="S256" s="533" t="str">
        <f t="shared" si="54"/>
        <v>--</v>
      </c>
      <c r="T256" s="532">
        <f t="shared" si="55"/>
        <v>46.072883580000003</v>
      </c>
      <c r="U256" s="534">
        <f t="shared" si="63"/>
        <v>1.2850513690849526E-3</v>
      </c>
      <c r="V256" s="533">
        <f t="shared" si="56"/>
        <v>7.7103082145097158E-5</v>
      </c>
      <c r="W256" s="533"/>
      <c r="X256" s="535">
        <v>1E-3</v>
      </c>
      <c r="Y256" s="535">
        <v>-0.05</v>
      </c>
      <c r="Z256" s="535">
        <v>0.06</v>
      </c>
    </row>
    <row r="257" spans="1:26" ht="14.5">
      <c r="A257" s="509">
        <v>253</v>
      </c>
      <c r="B257" s="524" t="s">
        <v>951</v>
      </c>
      <c r="C257" s="525" t="s">
        <v>952</v>
      </c>
      <c r="D257" s="526">
        <v>639.92999999999995</v>
      </c>
      <c r="E257" s="527">
        <v>6.24</v>
      </c>
      <c r="F257" s="101">
        <f t="shared" si="48"/>
        <v>9.751066522900944E-3</v>
      </c>
      <c r="G257" s="102" t="str">
        <f t="shared" si="57"/>
        <v>NMF</v>
      </c>
      <c r="H257" s="102">
        <f t="shared" si="58"/>
        <v>0.12</v>
      </c>
      <c r="I257" s="102">
        <f t="shared" si="59"/>
        <v>0.19450000000000001</v>
      </c>
      <c r="J257" s="528">
        <v>47.88</v>
      </c>
      <c r="K257" s="529">
        <f t="shared" si="49"/>
        <v>30.639848399999998</v>
      </c>
      <c r="L257" s="530">
        <f t="shared" si="60"/>
        <v>7.5170813231971087E-4</v>
      </c>
      <c r="M257" s="531">
        <f t="shared" si="50"/>
        <v>7.3299560040551259E-6</v>
      </c>
      <c r="N257" s="532" t="str">
        <f t="shared" si="51"/>
        <v>--</v>
      </c>
      <c r="O257" s="533" t="str">
        <f t="shared" si="61"/>
        <v>--</v>
      </c>
      <c r="P257" s="533" t="str">
        <f t="shared" si="52"/>
        <v>--</v>
      </c>
      <c r="Q257" s="532">
        <f t="shared" si="53"/>
        <v>30.639848399999998</v>
      </c>
      <c r="R257" s="534">
        <f t="shared" si="62"/>
        <v>9.2265525613906187E-4</v>
      </c>
      <c r="S257" s="533">
        <f t="shared" si="54"/>
        <v>1.1071863073668743E-4</v>
      </c>
      <c r="T257" s="532">
        <f t="shared" si="55"/>
        <v>30.639848399999998</v>
      </c>
      <c r="U257" s="534">
        <f t="shared" si="63"/>
        <v>8.545976738488178E-4</v>
      </c>
      <c r="V257" s="533">
        <f t="shared" si="56"/>
        <v>1.6621924756359506E-4</v>
      </c>
      <c r="W257" s="533"/>
      <c r="X257" s="535" t="s">
        <v>36</v>
      </c>
      <c r="Y257" s="535">
        <v>0.12</v>
      </c>
      <c r="Z257" s="535">
        <v>0.19450000000000001</v>
      </c>
    </row>
    <row r="258" spans="1:26" ht="14.5">
      <c r="A258" s="509">
        <v>254</v>
      </c>
      <c r="B258" s="524" t="s">
        <v>953</v>
      </c>
      <c r="C258" s="525" t="s">
        <v>415</v>
      </c>
      <c r="D258" s="526">
        <v>77.650000000000006</v>
      </c>
      <c r="E258" s="527">
        <v>3.24</v>
      </c>
      <c r="F258" s="101">
        <f t="shared" ref="F258:F320" si="64">E258/D258</f>
        <v>4.1725692208628463E-2</v>
      </c>
      <c r="G258" s="102">
        <f t="shared" si="57"/>
        <v>0.13720000000000002</v>
      </c>
      <c r="H258" s="102">
        <f t="shared" si="58"/>
        <v>0.13500000000000001</v>
      </c>
      <c r="I258" s="102">
        <f t="shared" si="59"/>
        <v>0.12089999999999999</v>
      </c>
      <c r="J258" s="528">
        <v>2511.0309999999999</v>
      </c>
      <c r="K258" s="529">
        <f t="shared" ref="K258:K320" si="65">J258*D258/1000</f>
        <v>194.98155715000001</v>
      </c>
      <c r="L258" s="530">
        <f t="shared" si="60"/>
        <v>4.7836144699076088E-3</v>
      </c>
      <c r="M258" s="531">
        <f t="shared" ref="M258:M320" si="66">F258*L258</f>
        <v>1.9959962501610629E-4</v>
      </c>
      <c r="N258" s="532">
        <f t="shared" ref="N258:N320" si="67">IF(G258="n/a","--",IF(G258="NMF","--",$K258))</f>
        <v>194.98155715000001</v>
      </c>
      <c r="O258" s="533">
        <f t="shared" si="61"/>
        <v>5.8241624892350239E-3</v>
      </c>
      <c r="P258" s="533">
        <f t="shared" ref="P258:P320" si="68">IF(O258="--","--",G258*O258)</f>
        <v>7.9907509352304543E-4</v>
      </c>
      <c r="Q258" s="532">
        <f t="shared" ref="Q258:Q320" si="69">IF(H258="n/a","--",IF(H258="NMF","--",$K258))</f>
        <v>194.98155715000001</v>
      </c>
      <c r="R258" s="534">
        <f t="shared" si="62"/>
        <v>5.8714637293905934E-3</v>
      </c>
      <c r="S258" s="533">
        <f t="shared" ref="S258:S320" si="70">IF(R258="--","--",H258*R258)</f>
        <v>7.9264760346773016E-4</v>
      </c>
      <c r="T258" s="532">
        <f t="shared" ref="T258:T320" si="71">IF(I258="n/a","--",IF(I258="NMF","--",$K258))</f>
        <v>194.98155715000001</v>
      </c>
      <c r="U258" s="534">
        <f t="shared" si="63"/>
        <v>5.4383684608508166E-3</v>
      </c>
      <c r="V258" s="533">
        <f t="shared" ref="V258:V320" si="72">IF(U258="--","--",I258*U258)</f>
        <v>6.5749874691686371E-4</v>
      </c>
      <c r="W258" s="533"/>
      <c r="X258" s="535">
        <v>0.13720000000000002</v>
      </c>
      <c r="Y258" s="535">
        <v>0.13500000000000001</v>
      </c>
      <c r="Z258" s="535">
        <v>0.12089999999999999</v>
      </c>
    </row>
    <row r="259" spans="1:26" ht="14.5">
      <c r="A259" s="509">
        <v>255</v>
      </c>
      <c r="B259" s="524" t="s">
        <v>954</v>
      </c>
      <c r="C259" s="525" t="s">
        <v>196</v>
      </c>
      <c r="D259" s="526">
        <v>121.88</v>
      </c>
      <c r="E259" s="527">
        <v>3.7</v>
      </c>
      <c r="F259" s="101">
        <f t="shared" si="64"/>
        <v>3.0357728913685596E-2</v>
      </c>
      <c r="G259" s="102">
        <f t="shared" si="57"/>
        <v>0.12587000000000001</v>
      </c>
      <c r="H259" s="102">
        <f t="shared" si="58"/>
        <v>0.13500000000000001</v>
      </c>
      <c r="I259" s="102">
        <f t="shared" si="59"/>
        <v>0.1278</v>
      </c>
      <c r="J259" s="528">
        <v>1604.319</v>
      </c>
      <c r="K259" s="529">
        <f t="shared" si="65"/>
        <v>195.53439971999998</v>
      </c>
      <c r="L259" s="530">
        <f t="shared" si="60"/>
        <v>4.797177730741546E-3</v>
      </c>
      <c r="M259" s="531">
        <f t="shared" si="66"/>
        <v>1.4563142110062129E-4</v>
      </c>
      <c r="N259" s="532">
        <f t="shared" si="67"/>
        <v>195.53439971999998</v>
      </c>
      <c r="O259" s="533">
        <f t="shared" si="61"/>
        <v>5.84067607649789E-3</v>
      </c>
      <c r="P259" s="533">
        <f t="shared" si="68"/>
        <v>7.3516589774878945E-4</v>
      </c>
      <c r="Q259" s="532">
        <f t="shared" si="69"/>
        <v>195.53439971999998</v>
      </c>
      <c r="R259" s="534">
        <f t="shared" si="62"/>
        <v>5.8881114326157797E-3</v>
      </c>
      <c r="S259" s="533">
        <f t="shared" si="70"/>
        <v>7.9489504340313026E-4</v>
      </c>
      <c r="T259" s="532">
        <f t="shared" si="71"/>
        <v>195.53439971999998</v>
      </c>
      <c r="U259" s="534">
        <f t="shared" si="63"/>
        <v>5.4537881838259009E-3</v>
      </c>
      <c r="V259" s="533">
        <f t="shared" si="72"/>
        <v>6.9699412989295017E-4</v>
      </c>
      <c r="W259" s="533"/>
      <c r="X259" s="535">
        <v>0.12587000000000001</v>
      </c>
      <c r="Y259" s="535">
        <v>0.13500000000000001</v>
      </c>
      <c r="Z259" s="535">
        <v>0.1278</v>
      </c>
    </row>
    <row r="260" spans="1:26" ht="14.5">
      <c r="A260" s="509">
        <v>256</v>
      </c>
      <c r="B260" s="524" t="s">
        <v>955</v>
      </c>
      <c r="C260" s="525" t="s">
        <v>956</v>
      </c>
      <c r="D260" s="526">
        <v>557.98</v>
      </c>
      <c r="E260" s="527">
        <v>7.2</v>
      </c>
      <c r="F260" s="101">
        <f t="shared" si="64"/>
        <v>1.2903688304240296E-2</v>
      </c>
      <c r="G260" s="102">
        <f t="shared" si="57"/>
        <v>0.10997</v>
      </c>
      <c r="H260" s="102">
        <f t="shared" si="58"/>
        <v>9.5000000000000001E-2</v>
      </c>
      <c r="I260" s="102">
        <f t="shared" si="59"/>
        <v>0.11939999999999999</v>
      </c>
      <c r="J260" s="528">
        <v>77.370999999999995</v>
      </c>
      <c r="K260" s="529">
        <f t="shared" si="65"/>
        <v>43.171470579999998</v>
      </c>
      <c r="L260" s="530">
        <f t="shared" si="60"/>
        <v>1.0591548984030595E-3</v>
      </c>
      <c r="M260" s="531">
        <f t="shared" si="66"/>
        <v>1.3667004674902378E-5</v>
      </c>
      <c r="N260" s="532">
        <f t="shared" si="67"/>
        <v>43.171470579999998</v>
      </c>
      <c r="O260" s="533">
        <f t="shared" si="61"/>
        <v>1.289545858758926E-3</v>
      </c>
      <c r="P260" s="533">
        <f t="shared" si="68"/>
        <v>1.4181135808771908E-4</v>
      </c>
      <c r="Q260" s="532">
        <f t="shared" si="69"/>
        <v>43.171470579999998</v>
      </c>
      <c r="R260" s="534">
        <f t="shared" si="62"/>
        <v>1.3000189728709583E-3</v>
      </c>
      <c r="S260" s="533">
        <f t="shared" si="70"/>
        <v>1.2350180242274103E-4</v>
      </c>
      <c r="T260" s="532">
        <f t="shared" si="71"/>
        <v>43.171470579999998</v>
      </c>
      <c r="U260" s="534">
        <f t="shared" si="63"/>
        <v>1.2041260078264836E-3</v>
      </c>
      <c r="V260" s="533">
        <f t="shared" si="72"/>
        <v>1.4377264533448213E-4</v>
      </c>
      <c r="W260" s="533"/>
      <c r="X260" s="535">
        <v>0.10997</v>
      </c>
      <c r="Y260" s="535">
        <v>9.5000000000000001E-2</v>
      </c>
      <c r="Z260" s="535">
        <v>0.11939999999999999</v>
      </c>
    </row>
    <row r="261" spans="1:26" ht="14.5">
      <c r="A261" s="509">
        <v>257</v>
      </c>
      <c r="B261" s="524" t="s">
        <v>957</v>
      </c>
      <c r="C261" s="525" t="s">
        <v>418</v>
      </c>
      <c r="D261" s="526">
        <v>438.17</v>
      </c>
      <c r="E261" s="527">
        <v>3.5</v>
      </c>
      <c r="F261" s="101">
        <f t="shared" si="64"/>
        <v>7.9877673049273106E-3</v>
      </c>
      <c r="G261" s="102">
        <f t="shared" ref="G261:G324" si="73">IF(AND(X261&gt;=$F$423,X261&lt;=$F$424),X261,"NMF")</f>
        <v>0.13714999999999999</v>
      </c>
      <c r="H261" s="102">
        <f t="shared" ref="H261:H324" si="74">IF(AND(Y261&gt;=$F$423,Y261&lt;=$F$424),Y261,"NMF")</f>
        <v>0.12</v>
      </c>
      <c r="I261" s="102">
        <f t="shared" ref="I261:I324" si="75">IF(AND(Z261&gt;=$F$423,Z261&lt;=$F$424),Z261,"NMF")</f>
        <v>0.14760000000000001</v>
      </c>
      <c r="J261" s="528">
        <v>7432.5439999999999</v>
      </c>
      <c r="K261" s="529">
        <f t="shared" si="65"/>
        <v>3256.7178044799998</v>
      </c>
      <c r="L261" s="530">
        <f t="shared" ref="L261:L324" si="76">K261/K$408</f>
        <v>7.9899261456463672E-2</v>
      </c>
      <c r="M261" s="531">
        <f t="shared" si="66"/>
        <v>6.3821670834977938E-4</v>
      </c>
      <c r="N261" s="532">
        <f t="shared" si="67"/>
        <v>3256.7178044799998</v>
      </c>
      <c r="O261" s="533">
        <f t="shared" ref="O261:O324" si="77">IF(N261="--","--",N261/N$408)</f>
        <v>9.727921938937216E-2</v>
      </c>
      <c r="P261" s="533">
        <f t="shared" si="68"/>
        <v>1.3341844939252391E-2</v>
      </c>
      <c r="Q261" s="532">
        <f t="shared" si="69"/>
        <v>3256.7178044799998</v>
      </c>
      <c r="R261" s="534">
        <f t="shared" ref="R261:R324" si="78">IF(Q261="--","--",Q261/Q$408)</f>
        <v>9.80692776556015E-2</v>
      </c>
      <c r="S261" s="533">
        <f t="shared" si="70"/>
        <v>1.176831331867218E-2</v>
      </c>
      <c r="T261" s="532">
        <f t="shared" si="71"/>
        <v>3256.7178044799998</v>
      </c>
      <c r="U261" s="534">
        <f t="shared" ref="U261:U324" si="79">IF(T261="--","--",T261/T$408)</f>
        <v>9.0835418757836836E-2</v>
      </c>
      <c r="V261" s="533">
        <f t="shared" si="72"/>
        <v>1.3407307808656718E-2</v>
      </c>
      <c r="W261" s="533"/>
      <c r="X261" s="535">
        <v>0.13714999999999999</v>
      </c>
      <c r="Y261" s="535">
        <v>0.12</v>
      </c>
      <c r="Z261" s="535">
        <v>0.14760000000000001</v>
      </c>
    </row>
    <row r="262" spans="1:26" ht="14.5">
      <c r="A262" s="509">
        <v>258</v>
      </c>
      <c r="B262" s="524" t="s">
        <v>958</v>
      </c>
      <c r="C262" s="525" t="s">
        <v>959</v>
      </c>
      <c r="D262" s="526">
        <v>410.37</v>
      </c>
      <c r="E262" s="527">
        <v>4.3600000000000003</v>
      </c>
      <c r="F262" s="101">
        <f t="shared" si="64"/>
        <v>1.0624558325413652E-2</v>
      </c>
      <c r="G262" s="102">
        <f t="shared" si="73"/>
        <v>7.8799999999999995E-2</v>
      </c>
      <c r="H262" s="102">
        <f t="shared" si="74"/>
        <v>0.1</v>
      </c>
      <c r="I262" s="102">
        <f t="shared" si="75"/>
        <v>8.6199999999999999E-2</v>
      </c>
      <c r="J262" s="528">
        <v>166.916</v>
      </c>
      <c r="K262" s="529">
        <f t="shared" si="65"/>
        <v>68.497318920000012</v>
      </c>
      <c r="L262" s="530">
        <f t="shared" si="76"/>
        <v>1.6804910716941017E-3</v>
      </c>
      <c r="M262" s="531">
        <f t="shared" si="66"/>
        <v>1.785447540655088E-5</v>
      </c>
      <c r="N262" s="532">
        <f t="shared" si="67"/>
        <v>68.497318920000012</v>
      </c>
      <c r="O262" s="533">
        <f t="shared" si="77"/>
        <v>2.046037180635125E-3</v>
      </c>
      <c r="P262" s="533">
        <f t="shared" si="68"/>
        <v>1.6122772983404783E-4</v>
      </c>
      <c r="Q262" s="532">
        <f t="shared" si="69"/>
        <v>68.497318920000012</v>
      </c>
      <c r="R262" s="534">
        <f t="shared" si="78"/>
        <v>2.0626541785687042E-3</v>
      </c>
      <c r="S262" s="533">
        <f t="shared" si="70"/>
        <v>2.0626541785687043E-4</v>
      </c>
      <c r="T262" s="532">
        <f t="shared" si="71"/>
        <v>68.497318920000012</v>
      </c>
      <c r="U262" s="534">
        <f t="shared" si="79"/>
        <v>1.9105071490468808E-3</v>
      </c>
      <c r="V262" s="533">
        <f t="shared" si="72"/>
        <v>1.6468571624784112E-4</v>
      </c>
      <c r="W262" s="533"/>
      <c r="X262" s="535">
        <v>7.8799999999999995E-2</v>
      </c>
      <c r="Y262" s="535">
        <v>0.1</v>
      </c>
      <c r="Z262" s="535">
        <v>8.6199999999999999E-2</v>
      </c>
    </row>
    <row r="263" spans="1:26" ht="14.5">
      <c r="A263" s="509">
        <v>259</v>
      </c>
      <c r="B263" s="524" t="s">
        <v>960</v>
      </c>
      <c r="C263" s="525" t="s">
        <v>961</v>
      </c>
      <c r="D263" s="526">
        <v>177.56</v>
      </c>
      <c r="E263" s="527">
        <v>5.4</v>
      </c>
      <c r="F263" s="101">
        <f t="shared" si="64"/>
        <v>3.0412255012390178E-2</v>
      </c>
      <c r="G263" s="102">
        <f t="shared" si="73"/>
        <v>4.5499999999999999E-2</v>
      </c>
      <c r="H263" s="102">
        <f t="shared" si="74"/>
        <v>5.5E-2</v>
      </c>
      <c r="I263" s="102">
        <f t="shared" si="75"/>
        <v>8.5600000000000009E-2</v>
      </c>
      <c r="J263" s="528">
        <v>160.51599999999999</v>
      </c>
      <c r="K263" s="529">
        <f t="shared" si="65"/>
        <v>28.501220959999998</v>
      </c>
      <c r="L263" s="530">
        <f t="shared" si="76"/>
        <v>6.9923973829690998E-4</v>
      </c>
      <c r="M263" s="531">
        <f t="shared" si="66"/>
        <v>2.1265457235882596E-5</v>
      </c>
      <c r="N263" s="532">
        <f t="shared" si="67"/>
        <v>28.501220959999998</v>
      </c>
      <c r="O263" s="533">
        <f t="shared" si="77"/>
        <v>8.5134073416456466E-4</v>
      </c>
      <c r="P263" s="533">
        <f t="shared" si="68"/>
        <v>3.8736003404487693E-5</v>
      </c>
      <c r="Q263" s="532">
        <f t="shared" si="69"/>
        <v>28.501220959999998</v>
      </c>
      <c r="R263" s="534">
        <f t="shared" si="78"/>
        <v>8.5825494244693443E-4</v>
      </c>
      <c r="S263" s="533">
        <f t="shared" si="70"/>
        <v>4.7204021834581395E-5</v>
      </c>
      <c r="T263" s="532">
        <f t="shared" si="71"/>
        <v>28.501220959999998</v>
      </c>
      <c r="U263" s="534">
        <f t="shared" si="79"/>
        <v>7.9494770392751584E-4</v>
      </c>
      <c r="V263" s="533">
        <f t="shared" si="72"/>
        <v>6.8047523456195362E-5</v>
      </c>
      <c r="W263" s="533"/>
      <c r="X263" s="535">
        <v>4.5499999999999999E-2</v>
      </c>
      <c r="Y263" s="535">
        <v>5.5E-2</v>
      </c>
      <c r="Z263" s="535">
        <v>8.5600000000000009E-2</v>
      </c>
    </row>
    <row r="264" spans="1:26" ht="14.5">
      <c r="A264" s="509">
        <v>260</v>
      </c>
      <c r="B264" s="524" t="s">
        <v>1342</v>
      </c>
      <c r="C264" s="525" t="s">
        <v>1343</v>
      </c>
      <c r="D264" s="526">
        <v>27.47</v>
      </c>
      <c r="E264" s="527">
        <v>0.8</v>
      </c>
      <c r="F264" s="101">
        <f t="shared" si="64"/>
        <v>2.9122679286494361E-2</v>
      </c>
      <c r="G264" s="102" t="str">
        <f t="shared" si="73"/>
        <v>NMF</v>
      </c>
      <c r="H264" s="102">
        <f t="shared" si="74"/>
        <v>7.0000000000000007E-2</v>
      </c>
      <c r="I264" s="102">
        <f t="shared" si="75"/>
        <v>0.1885</v>
      </c>
      <c r="J264" s="528">
        <v>245.22499999999999</v>
      </c>
      <c r="K264" s="529">
        <f t="shared" si="65"/>
        <v>6.7363307499999996</v>
      </c>
      <c r="L264" s="530">
        <f t="shared" si="76"/>
        <v>1.6526696022328677E-4</v>
      </c>
      <c r="M264" s="531">
        <f t="shared" si="66"/>
        <v>4.8130166792366012E-6</v>
      </c>
      <c r="N264" s="532" t="str">
        <f t="shared" si="67"/>
        <v>--</v>
      </c>
      <c r="O264" s="533" t="str">
        <f t="shared" si="77"/>
        <v>--</v>
      </c>
      <c r="P264" s="533" t="str">
        <f t="shared" si="68"/>
        <v>--</v>
      </c>
      <c r="Q264" s="532">
        <f t="shared" si="69"/>
        <v>6.7363307499999996</v>
      </c>
      <c r="R264" s="534">
        <f t="shared" si="78"/>
        <v>2.0285057851587439E-4</v>
      </c>
      <c r="S264" s="533">
        <f t="shared" si="70"/>
        <v>1.4199540496111208E-5</v>
      </c>
      <c r="T264" s="532">
        <f t="shared" si="71"/>
        <v>6.7363307499999996</v>
      </c>
      <c r="U264" s="534">
        <f t="shared" si="79"/>
        <v>1.8788776347947799E-4</v>
      </c>
      <c r="V264" s="533">
        <f t="shared" si="72"/>
        <v>3.5416843415881604E-5</v>
      </c>
      <c r="W264" s="533"/>
      <c r="X264" s="535">
        <v>0.25469999999999998</v>
      </c>
      <c r="Y264" s="535">
        <v>7.0000000000000007E-2</v>
      </c>
      <c r="Z264" s="535">
        <v>0.1885</v>
      </c>
    </row>
    <row r="265" spans="1:26" ht="14.5">
      <c r="A265" s="509">
        <v>261</v>
      </c>
      <c r="B265" s="524" t="s">
        <v>962</v>
      </c>
      <c r="C265" s="525" t="s">
        <v>963</v>
      </c>
      <c r="D265" s="526">
        <v>85.15</v>
      </c>
      <c r="E265" s="527">
        <v>0.47</v>
      </c>
      <c r="F265" s="101">
        <f t="shared" si="64"/>
        <v>5.51967116852613E-3</v>
      </c>
      <c r="G265" s="102" t="str">
        <f t="shared" si="73"/>
        <v>NMF</v>
      </c>
      <c r="H265" s="102" t="str">
        <f t="shared" si="74"/>
        <v>NMF</v>
      </c>
      <c r="I265" s="102" t="str">
        <f t="shared" si="75"/>
        <v>NMF</v>
      </c>
      <c r="J265" s="528">
        <v>1117.5719999999999</v>
      </c>
      <c r="K265" s="529">
        <f t="shared" si="65"/>
        <v>95.161255799999992</v>
      </c>
      <c r="L265" s="530">
        <f t="shared" si="76"/>
        <v>2.3346554765139196E-3</v>
      </c>
      <c r="M265" s="531">
        <f t="shared" si="66"/>
        <v>1.2886530522155515E-5</v>
      </c>
      <c r="N265" s="532" t="str">
        <f t="shared" si="67"/>
        <v>--</v>
      </c>
      <c r="O265" s="533" t="str">
        <f t="shared" si="77"/>
        <v>--</v>
      </c>
      <c r="P265" s="533" t="str">
        <f t="shared" si="68"/>
        <v>--</v>
      </c>
      <c r="Q265" s="532" t="str">
        <f t="shared" si="69"/>
        <v>--</v>
      </c>
      <c r="R265" s="534" t="str">
        <f t="shared" si="78"/>
        <v>--</v>
      </c>
      <c r="S265" s="533" t="str">
        <f t="shared" si="70"/>
        <v>--</v>
      </c>
      <c r="T265" s="532" t="str">
        <f t="shared" si="71"/>
        <v>--</v>
      </c>
      <c r="U265" s="534" t="str">
        <f t="shared" si="79"/>
        <v>--</v>
      </c>
      <c r="V265" s="533" t="str">
        <f t="shared" si="72"/>
        <v>--</v>
      </c>
      <c r="W265" s="533"/>
      <c r="X265" s="535" t="s">
        <v>36</v>
      </c>
      <c r="Y265" s="535">
        <v>0.39</v>
      </c>
      <c r="Z265" s="535" t="s">
        <v>36</v>
      </c>
    </row>
    <row r="266" spans="1:26" ht="14.5">
      <c r="A266" s="509">
        <v>262</v>
      </c>
      <c r="B266" s="524" t="s">
        <v>964</v>
      </c>
      <c r="C266" s="525" t="s">
        <v>965</v>
      </c>
      <c r="D266" s="526">
        <v>79</v>
      </c>
      <c r="E266" s="527">
        <v>1.08</v>
      </c>
      <c r="F266" s="101">
        <f t="shared" si="64"/>
        <v>1.3670886075949368E-2</v>
      </c>
      <c r="G266" s="102">
        <f t="shared" si="73"/>
        <v>0.12317</v>
      </c>
      <c r="H266" s="102">
        <f t="shared" si="74"/>
        <v>5.5E-2</v>
      </c>
      <c r="I266" s="102">
        <f t="shared" si="75"/>
        <v>0.12089999999999999</v>
      </c>
      <c r="J266" s="528">
        <v>574.12199999999996</v>
      </c>
      <c r="K266" s="529">
        <f t="shared" si="65"/>
        <v>45.355637999999999</v>
      </c>
      <c r="L266" s="530">
        <f t="shared" si="76"/>
        <v>1.1127405555684442E-3</v>
      </c>
      <c r="M266" s="531">
        <f t="shared" si="66"/>
        <v>1.5212149367264808E-5</v>
      </c>
      <c r="N266" s="532">
        <f t="shared" si="67"/>
        <v>45.355637999999999</v>
      </c>
      <c r="O266" s="533">
        <f t="shared" si="77"/>
        <v>1.3547876495401279E-3</v>
      </c>
      <c r="P266" s="533">
        <f t="shared" si="68"/>
        <v>1.6686919479385755E-4</v>
      </c>
      <c r="Q266" s="532">
        <f t="shared" si="69"/>
        <v>45.355637999999999</v>
      </c>
      <c r="R266" s="534">
        <f t="shared" si="78"/>
        <v>1.3657906282669651E-3</v>
      </c>
      <c r="S266" s="533">
        <f t="shared" si="70"/>
        <v>7.5118484554683089E-5</v>
      </c>
      <c r="T266" s="532">
        <f t="shared" si="71"/>
        <v>45.355637999999999</v>
      </c>
      <c r="U266" s="534">
        <f t="shared" si="79"/>
        <v>1.2650461655263623E-3</v>
      </c>
      <c r="V266" s="533">
        <f t="shared" si="72"/>
        <v>1.529440814121372E-4</v>
      </c>
      <c r="W266" s="533"/>
      <c r="X266" s="535">
        <v>0.12317</v>
      </c>
      <c r="Y266" s="535">
        <v>5.5E-2</v>
      </c>
      <c r="Z266" s="535">
        <v>0.12089999999999999</v>
      </c>
    </row>
    <row r="267" spans="1:26" ht="14.5">
      <c r="A267" s="509">
        <v>263</v>
      </c>
      <c r="B267" s="524" t="s">
        <v>966</v>
      </c>
      <c r="C267" s="525" t="s">
        <v>967</v>
      </c>
      <c r="D267" s="526">
        <v>194.1</v>
      </c>
      <c r="E267" s="527">
        <v>3.12</v>
      </c>
      <c r="F267" s="101">
        <f t="shared" si="64"/>
        <v>1.6074188562596601E-2</v>
      </c>
      <c r="G267" s="102">
        <f t="shared" si="73"/>
        <v>0.13</v>
      </c>
      <c r="H267" s="102">
        <f t="shared" si="74"/>
        <v>7.0000000000000007E-2</v>
      </c>
      <c r="I267" s="102">
        <f t="shared" si="75"/>
        <v>0.13</v>
      </c>
      <c r="J267" s="528">
        <v>56.911999999999999</v>
      </c>
      <c r="K267" s="529">
        <f t="shared" si="65"/>
        <v>11.046619199999999</v>
      </c>
      <c r="L267" s="530">
        <f t="shared" si="76"/>
        <v>2.7101418319286E-4</v>
      </c>
      <c r="M267" s="531">
        <f t="shared" si="66"/>
        <v>4.35633308378013E-6</v>
      </c>
      <c r="N267" s="532">
        <f t="shared" si="67"/>
        <v>11.046619199999999</v>
      </c>
      <c r="O267" s="533">
        <f t="shared" si="77"/>
        <v>3.299661061174544E-4</v>
      </c>
      <c r="P267" s="533">
        <f t="shared" si="68"/>
        <v>4.2895593795269074E-5</v>
      </c>
      <c r="Q267" s="532">
        <f t="shared" si="69"/>
        <v>11.046619199999999</v>
      </c>
      <c r="R267" s="534">
        <f t="shared" si="78"/>
        <v>3.3264594309959696E-4</v>
      </c>
      <c r="S267" s="533">
        <f t="shared" si="70"/>
        <v>2.3285216016971788E-5</v>
      </c>
      <c r="T267" s="532">
        <f t="shared" si="71"/>
        <v>11.046619199999999</v>
      </c>
      <c r="U267" s="534">
        <f t="shared" si="79"/>
        <v>3.0810906597741807E-4</v>
      </c>
      <c r="V267" s="533">
        <f t="shared" si="72"/>
        <v>4.005417857706435E-5</v>
      </c>
      <c r="W267" s="533"/>
      <c r="X267" s="535">
        <v>0.13</v>
      </c>
      <c r="Y267" s="535">
        <v>7.0000000000000007E-2</v>
      </c>
      <c r="Z267" s="535">
        <v>0.13</v>
      </c>
    </row>
    <row r="268" spans="1:26" ht="14.5">
      <c r="A268" s="509">
        <v>264</v>
      </c>
      <c r="B268" s="524" t="s">
        <v>968</v>
      </c>
      <c r="C268" s="525" t="s">
        <v>969</v>
      </c>
      <c r="D268" s="526">
        <v>68.319999999999993</v>
      </c>
      <c r="E268" s="527">
        <v>2.33</v>
      </c>
      <c r="F268" s="101">
        <f t="shared" si="64"/>
        <v>3.4104215456674476E-2</v>
      </c>
      <c r="G268" s="102">
        <f t="shared" si="73"/>
        <v>0.08</v>
      </c>
      <c r="H268" s="102">
        <f t="shared" si="74"/>
        <v>8.5000000000000006E-2</v>
      </c>
      <c r="I268" s="102">
        <f t="shared" si="75"/>
        <v>7.7199999999999991E-2</v>
      </c>
      <c r="J268" s="528">
        <v>2058.6309999999999</v>
      </c>
      <c r="K268" s="529">
        <f t="shared" si="65"/>
        <v>140.64566991999999</v>
      </c>
      <c r="L268" s="530">
        <f t="shared" si="76"/>
        <v>3.4505553837667728E-3</v>
      </c>
      <c r="M268" s="531">
        <f t="shared" si="66"/>
        <v>1.1767848425317011E-4</v>
      </c>
      <c r="N268" s="532">
        <f t="shared" si="67"/>
        <v>140.64566991999999</v>
      </c>
      <c r="O268" s="533">
        <f t="shared" si="77"/>
        <v>4.2011318762380425E-3</v>
      </c>
      <c r="P268" s="533">
        <f t="shared" si="68"/>
        <v>3.360905500990434E-4</v>
      </c>
      <c r="Q268" s="532">
        <f t="shared" si="69"/>
        <v>140.64566991999999</v>
      </c>
      <c r="R268" s="534">
        <f t="shared" si="78"/>
        <v>4.2352515884147629E-3</v>
      </c>
      <c r="S268" s="533">
        <f t="shared" si="70"/>
        <v>3.5999638501525488E-4</v>
      </c>
      <c r="T268" s="532">
        <f t="shared" si="71"/>
        <v>140.64566991999999</v>
      </c>
      <c r="U268" s="534">
        <f t="shared" si="79"/>
        <v>3.9228478150871221E-3</v>
      </c>
      <c r="V268" s="533">
        <f t="shared" si="72"/>
        <v>3.0284385132472579E-4</v>
      </c>
      <c r="W268" s="533"/>
      <c r="X268" s="535">
        <v>0.08</v>
      </c>
      <c r="Y268" s="535">
        <v>8.5000000000000006E-2</v>
      </c>
      <c r="Z268" s="535">
        <v>7.7199999999999991E-2</v>
      </c>
    </row>
    <row r="269" spans="1:26" ht="14.5">
      <c r="A269" s="509">
        <v>265</v>
      </c>
      <c r="B269" s="524" t="s">
        <v>970</v>
      </c>
      <c r="C269" s="525" t="s">
        <v>971</v>
      </c>
      <c r="D269" s="526">
        <v>52.83</v>
      </c>
      <c r="E269" s="527">
        <v>1</v>
      </c>
      <c r="F269" s="101">
        <f t="shared" si="64"/>
        <v>1.8928639030853681E-2</v>
      </c>
      <c r="G269" s="102">
        <f t="shared" si="73"/>
        <v>0.14199999999999999</v>
      </c>
      <c r="H269" s="102">
        <f t="shared" si="74"/>
        <v>0.125</v>
      </c>
      <c r="I269" s="102">
        <f t="shared" si="75"/>
        <v>0.14180000000000001</v>
      </c>
      <c r="J269" s="528">
        <v>1112.9970000000001</v>
      </c>
      <c r="K269" s="529">
        <f t="shared" si="65"/>
        <v>58.799631509999998</v>
      </c>
      <c r="L269" s="530">
        <f t="shared" si="76"/>
        <v>1.4425711448190234E-3</v>
      </c>
      <c r="M269" s="531">
        <f t="shared" si="66"/>
        <v>2.7305908476604644E-5</v>
      </c>
      <c r="N269" s="532">
        <f t="shared" si="67"/>
        <v>58.799631509999998</v>
      </c>
      <c r="O269" s="533">
        <f t="shared" si="77"/>
        <v>1.7563641055442444E-3</v>
      </c>
      <c r="P269" s="533">
        <f t="shared" si="68"/>
        <v>2.4940370298728268E-4</v>
      </c>
      <c r="Q269" s="532">
        <f t="shared" si="69"/>
        <v>58.799631509999998</v>
      </c>
      <c r="R269" s="534">
        <f t="shared" si="78"/>
        <v>1.7706285084537659E-3</v>
      </c>
      <c r="S269" s="533">
        <f t="shared" si="70"/>
        <v>2.2132856355672073E-4</v>
      </c>
      <c r="T269" s="532">
        <f t="shared" si="71"/>
        <v>58.799631509999998</v>
      </c>
      <c r="U269" s="534">
        <f t="shared" si="79"/>
        <v>1.6400220933081918E-3</v>
      </c>
      <c r="V269" s="533">
        <f t="shared" si="72"/>
        <v>2.325551328311016E-4</v>
      </c>
      <c r="W269" s="533"/>
      <c r="X269" s="535">
        <v>0.14199999999999999</v>
      </c>
      <c r="Y269" s="535">
        <v>0.125</v>
      </c>
      <c r="Z269" s="535">
        <v>0.14180000000000001</v>
      </c>
    </row>
    <row r="270" spans="1:26" ht="14.5">
      <c r="A270" s="509">
        <v>266</v>
      </c>
      <c r="B270" s="524" t="s">
        <v>972</v>
      </c>
      <c r="C270" s="525" t="s">
        <v>973</v>
      </c>
      <c r="D270" s="526">
        <v>39.61</v>
      </c>
      <c r="E270" s="527">
        <v>1.1200000000000001</v>
      </c>
      <c r="F270" s="101">
        <f t="shared" si="64"/>
        <v>2.8275687957586473E-2</v>
      </c>
      <c r="G270" s="102">
        <f t="shared" si="73"/>
        <v>7.6999999999999999E-2</v>
      </c>
      <c r="H270" s="102">
        <f t="shared" si="74"/>
        <v>0.08</v>
      </c>
      <c r="I270" s="102">
        <f t="shared" si="75"/>
        <v>7.8799999999999995E-2</v>
      </c>
      <c r="J270" s="528">
        <v>470.60500000000002</v>
      </c>
      <c r="K270" s="529">
        <f t="shared" si="65"/>
        <v>18.640664049999998</v>
      </c>
      <c r="L270" s="530">
        <f t="shared" si="76"/>
        <v>4.5732402377763324E-4</v>
      </c>
      <c r="M270" s="531">
        <f t="shared" si="66"/>
        <v>1.2931151391844214E-5</v>
      </c>
      <c r="N270" s="532">
        <f t="shared" si="67"/>
        <v>18.640664049999998</v>
      </c>
      <c r="O270" s="533">
        <f t="shared" si="77"/>
        <v>5.5680269416928186E-4</v>
      </c>
      <c r="P270" s="533">
        <f t="shared" si="68"/>
        <v>4.2873807451034706E-5</v>
      </c>
      <c r="Q270" s="532">
        <f t="shared" si="69"/>
        <v>18.640664049999998</v>
      </c>
      <c r="R270" s="534">
        <f t="shared" si="78"/>
        <v>5.6132479636077277E-4</v>
      </c>
      <c r="S270" s="533">
        <f t="shared" si="70"/>
        <v>4.4905983708861823E-5</v>
      </c>
      <c r="T270" s="532">
        <f t="shared" si="71"/>
        <v>18.640664049999998</v>
      </c>
      <c r="U270" s="534">
        <f t="shared" si="79"/>
        <v>5.1991993981691112E-4</v>
      </c>
      <c r="V270" s="533">
        <f t="shared" si="72"/>
        <v>4.0969691257572593E-5</v>
      </c>
      <c r="W270" s="533"/>
      <c r="X270" s="535">
        <v>7.6999999999999999E-2</v>
      </c>
      <c r="Y270" s="535">
        <v>0.08</v>
      </c>
      <c r="Z270" s="535">
        <v>7.8799999999999995E-2</v>
      </c>
    </row>
    <row r="271" spans="1:26" ht="14.5">
      <c r="A271" s="509">
        <v>267</v>
      </c>
      <c r="B271" s="524" t="s">
        <v>974</v>
      </c>
      <c r="C271" s="525" t="s">
        <v>975</v>
      </c>
      <c r="D271" s="526">
        <v>58.91</v>
      </c>
      <c r="E271" s="527">
        <v>1.6</v>
      </c>
      <c r="F271" s="101">
        <f t="shared" si="64"/>
        <v>2.7160074690205403E-2</v>
      </c>
      <c r="G271" s="102" t="str">
        <f t="shared" si="73"/>
        <v>NMF</v>
      </c>
      <c r="H271" s="102">
        <f t="shared" si="74"/>
        <v>0.02</v>
      </c>
      <c r="I271" s="102">
        <f t="shared" si="75"/>
        <v>0.15</v>
      </c>
      <c r="J271" s="528">
        <v>1475.99</v>
      </c>
      <c r="K271" s="529">
        <f t="shared" si="65"/>
        <v>86.950570899999988</v>
      </c>
      <c r="L271" s="530">
        <f t="shared" si="76"/>
        <v>2.1332171883517411E-3</v>
      </c>
      <c r="M271" s="531">
        <f t="shared" si="66"/>
        <v>5.7938338166063253E-5</v>
      </c>
      <c r="N271" s="532" t="str">
        <f t="shared" si="67"/>
        <v>--</v>
      </c>
      <c r="O271" s="533" t="str">
        <f t="shared" si="77"/>
        <v>--</v>
      </c>
      <c r="P271" s="533" t="str">
        <f t="shared" si="68"/>
        <v>--</v>
      </c>
      <c r="Q271" s="532">
        <f t="shared" si="69"/>
        <v>86.950570899999988</v>
      </c>
      <c r="R271" s="534">
        <f t="shared" si="78"/>
        <v>2.6183354505493295E-3</v>
      </c>
      <c r="S271" s="533">
        <f t="shared" si="70"/>
        <v>5.2366709010986592E-5</v>
      </c>
      <c r="T271" s="532">
        <f t="shared" si="71"/>
        <v>86.950570899999988</v>
      </c>
      <c r="U271" s="534">
        <f t="shared" si="79"/>
        <v>2.4251998463206072E-3</v>
      </c>
      <c r="V271" s="533">
        <f t="shared" si="72"/>
        <v>3.6377997694809106E-4</v>
      </c>
      <c r="W271" s="533"/>
      <c r="X271" s="535">
        <v>-3.5349999999999999E-2</v>
      </c>
      <c r="Y271" s="535">
        <v>0.02</v>
      </c>
      <c r="Z271" s="535">
        <v>0.15</v>
      </c>
    </row>
    <row r="272" spans="1:26" ht="14.5">
      <c r="A272" s="509">
        <v>268</v>
      </c>
      <c r="B272" s="524" t="s">
        <v>976</v>
      </c>
      <c r="C272" s="525" t="s">
        <v>425</v>
      </c>
      <c r="D272" s="526">
        <v>484.37</v>
      </c>
      <c r="E272" s="527">
        <v>8.84</v>
      </c>
      <c r="F272" s="101">
        <f t="shared" si="64"/>
        <v>1.8250510973016495E-2</v>
      </c>
      <c r="G272" s="102">
        <f t="shared" si="73"/>
        <v>4.2000000000000003E-2</v>
      </c>
      <c r="H272" s="102">
        <f t="shared" si="74"/>
        <v>7.4999999999999997E-2</v>
      </c>
      <c r="I272" s="102">
        <f t="shared" si="75"/>
        <v>3.2799999999999996E-2</v>
      </c>
      <c r="J272" s="528">
        <v>143.928</v>
      </c>
      <c r="K272" s="529">
        <f t="shared" si="65"/>
        <v>69.714405360000001</v>
      </c>
      <c r="L272" s="530">
        <f t="shared" si="76"/>
        <v>1.7103506768311831E-3</v>
      </c>
      <c r="M272" s="531">
        <f t="shared" si="66"/>
        <v>3.1214773795213698E-5</v>
      </c>
      <c r="N272" s="532">
        <f t="shared" si="67"/>
        <v>69.714405360000001</v>
      </c>
      <c r="O272" s="533">
        <f t="shared" si="77"/>
        <v>2.0823919482019435E-3</v>
      </c>
      <c r="P272" s="533">
        <f t="shared" si="68"/>
        <v>8.7460461824481631E-5</v>
      </c>
      <c r="Q272" s="532">
        <f t="shared" si="69"/>
        <v>69.714405360000001</v>
      </c>
      <c r="R272" s="534">
        <f t="shared" si="78"/>
        <v>2.0993042032810185E-3</v>
      </c>
      <c r="S272" s="533">
        <f t="shared" si="70"/>
        <v>1.5744781524607639E-4</v>
      </c>
      <c r="T272" s="532">
        <f t="shared" si="71"/>
        <v>69.714405360000001</v>
      </c>
      <c r="U272" s="534">
        <f t="shared" si="79"/>
        <v>1.9444537674151664E-3</v>
      </c>
      <c r="V272" s="533">
        <f t="shared" si="72"/>
        <v>6.3778083571217449E-5</v>
      </c>
      <c r="W272" s="533"/>
      <c r="X272" s="535">
        <v>4.2000000000000003E-2</v>
      </c>
      <c r="Y272" s="535">
        <v>7.4999999999999997E-2</v>
      </c>
      <c r="Z272" s="535">
        <v>3.2799999999999996E-2</v>
      </c>
    </row>
    <row r="273" spans="1:26" ht="14.5">
      <c r="A273" s="509">
        <v>269</v>
      </c>
      <c r="B273" s="524" t="s">
        <v>977</v>
      </c>
      <c r="C273" s="525" t="s">
        <v>978</v>
      </c>
      <c r="D273" s="526">
        <v>120.34</v>
      </c>
      <c r="E273" s="527">
        <v>1.76</v>
      </c>
      <c r="F273" s="101">
        <f t="shared" si="64"/>
        <v>1.4625228519195612E-2</v>
      </c>
      <c r="G273" s="102" t="str">
        <f t="shared" si="73"/>
        <v>NMF</v>
      </c>
      <c r="H273" s="102">
        <f t="shared" si="74"/>
        <v>0.185</v>
      </c>
      <c r="I273" s="102">
        <f t="shared" si="75"/>
        <v>0.113</v>
      </c>
      <c r="J273" s="528">
        <v>203.667</v>
      </c>
      <c r="K273" s="529">
        <f t="shared" si="65"/>
        <v>24.509286780000004</v>
      </c>
      <c r="L273" s="530">
        <f t="shared" si="76"/>
        <v>6.013029160379914E-4</v>
      </c>
      <c r="M273" s="531">
        <f t="shared" si="66"/>
        <v>8.7941925563143171E-6</v>
      </c>
      <c r="N273" s="532" t="str">
        <f t="shared" si="67"/>
        <v>--</v>
      </c>
      <c r="O273" s="533" t="str">
        <f t="shared" si="77"/>
        <v>--</v>
      </c>
      <c r="P273" s="533" t="str">
        <f t="shared" si="68"/>
        <v>--</v>
      </c>
      <c r="Q273" s="532">
        <f t="shared" si="69"/>
        <v>24.509286780000004</v>
      </c>
      <c r="R273" s="534">
        <f t="shared" si="78"/>
        <v>7.380461540334066E-4</v>
      </c>
      <c r="S273" s="533">
        <f t="shared" si="70"/>
        <v>1.3653853849618022E-4</v>
      </c>
      <c r="T273" s="532">
        <f t="shared" si="71"/>
        <v>24.509286780000004</v>
      </c>
      <c r="U273" s="534">
        <f t="shared" si="79"/>
        <v>6.8360584544803385E-4</v>
      </c>
      <c r="V273" s="533">
        <f t="shared" si="72"/>
        <v>7.7247460535627822E-5</v>
      </c>
      <c r="W273" s="533"/>
      <c r="X273" s="535" t="s">
        <v>36</v>
      </c>
      <c r="Y273" s="535">
        <v>0.185</v>
      </c>
      <c r="Z273" s="535">
        <v>0.113</v>
      </c>
    </row>
    <row r="274" spans="1:26" ht="14.5">
      <c r="A274" s="509">
        <v>270</v>
      </c>
      <c r="B274" s="524" t="s">
        <v>979</v>
      </c>
      <c r="C274" s="525" t="s">
        <v>980</v>
      </c>
      <c r="D274" s="526">
        <v>224.07</v>
      </c>
      <c r="E274" s="527">
        <v>5.5</v>
      </c>
      <c r="F274" s="101">
        <f t="shared" si="64"/>
        <v>2.4545900834560628E-2</v>
      </c>
      <c r="G274" s="102">
        <f t="shared" si="73"/>
        <v>0.1094</v>
      </c>
      <c r="H274" s="102">
        <f t="shared" si="74"/>
        <v>8.5000000000000006E-2</v>
      </c>
      <c r="I274" s="102">
        <f t="shared" si="75"/>
        <v>9.9700000000000011E-2</v>
      </c>
      <c r="J274" s="528">
        <v>225.44399999999999</v>
      </c>
      <c r="K274" s="529">
        <f t="shared" si="65"/>
        <v>50.515237079999999</v>
      </c>
      <c r="L274" s="530">
        <f t="shared" si="76"/>
        <v>1.2393244908840413E-3</v>
      </c>
      <c r="M274" s="531">
        <f t="shared" si="66"/>
        <v>3.0420336055082013E-5</v>
      </c>
      <c r="N274" s="532">
        <f t="shared" si="67"/>
        <v>50.515237079999999</v>
      </c>
      <c r="O274" s="533">
        <f t="shared" si="77"/>
        <v>1.5089065511453177E-3</v>
      </c>
      <c r="P274" s="533">
        <f t="shared" si="68"/>
        <v>1.6507437669529776E-4</v>
      </c>
      <c r="Q274" s="532">
        <f t="shared" si="69"/>
        <v>50.515237079999999</v>
      </c>
      <c r="R274" s="534">
        <f t="shared" si="78"/>
        <v>1.5211612145891961E-3</v>
      </c>
      <c r="S274" s="533">
        <f t="shared" si="70"/>
        <v>1.2929870324008167E-4</v>
      </c>
      <c r="T274" s="532">
        <f t="shared" si="71"/>
        <v>50.515237079999999</v>
      </c>
      <c r="U274" s="534">
        <f t="shared" si="79"/>
        <v>1.4089561912613625E-3</v>
      </c>
      <c r="V274" s="533">
        <f t="shared" si="72"/>
        <v>1.4047293226875784E-4</v>
      </c>
      <c r="W274" s="533"/>
      <c r="X274" s="535">
        <v>0.1094</v>
      </c>
      <c r="Y274" s="535">
        <v>8.5000000000000006E-2</v>
      </c>
      <c r="Z274" s="535">
        <v>9.9700000000000011E-2</v>
      </c>
    </row>
    <row r="275" spans="1:26" ht="14.5">
      <c r="A275" s="509">
        <v>271</v>
      </c>
      <c r="B275" s="524" t="s">
        <v>981</v>
      </c>
      <c r="C275" s="525" t="s">
        <v>982</v>
      </c>
      <c r="D275" s="526">
        <v>94.44</v>
      </c>
      <c r="E275" s="527">
        <v>2.14</v>
      </c>
      <c r="F275" s="101">
        <f t="shared" si="64"/>
        <v>2.2659889877170693E-2</v>
      </c>
      <c r="G275" s="102">
        <f t="shared" si="73"/>
        <v>8.4000000000000005E-2</v>
      </c>
      <c r="H275" s="102">
        <f t="shared" si="74"/>
        <v>9.5000000000000001E-2</v>
      </c>
      <c r="I275" s="102">
        <f t="shared" si="75"/>
        <v>8.5800000000000001E-2</v>
      </c>
      <c r="J275" s="528">
        <v>203.41200000000001</v>
      </c>
      <c r="K275" s="529">
        <f t="shared" si="65"/>
        <v>19.21022928</v>
      </c>
      <c r="L275" s="530">
        <f t="shared" si="76"/>
        <v>4.7129755294423144E-4</v>
      </c>
      <c r="M275" s="531">
        <f t="shared" si="66"/>
        <v>1.0679550649096308E-5</v>
      </c>
      <c r="N275" s="532">
        <f t="shared" si="67"/>
        <v>19.21022928</v>
      </c>
      <c r="O275" s="533">
        <f t="shared" si="77"/>
        <v>5.7381579272191348E-4</v>
      </c>
      <c r="P275" s="533">
        <f t="shared" si="68"/>
        <v>4.8200526588640734E-5</v>
      </c>
      <c r="Q275" s="532">
        <f t="shared" si="69"/>
        <v>19.21022928</v>
      </c>
      <c r="R275" s="534">
        <f t="shared" si="78"/>
        <v>5.784760676827796E-4</v>
      </c>
      <c r="S275" s="533">
        <f t="shared" si="70"/>
        <v>5.495522642986406E-5</v>
      </c>
      <c r="T275" s="532">
        <f t="shared" si="71"/>
        <v>19.21022928</v>
      </c>
      <c r="U275" s="534">
        <f t="shared" si="79"/>
        <v>5.3580608632484126E-4</v>
      </c>
      <c r="V275" s="533">
        <f t="shared" si="72"/>
        <v>4.597216220667138E-5</v>
      </c>
      <c r="W275" s="533"/>
      <c r="X275" s="535">
        <v>8.4000000000000005E-2</v>
      </c>
      <c r="Y275" s="535">
        <v>9.5000000000000001E-2</v>
      </c>
      <c r="Z275" s="535">
        <v>8.5800000000000001E-2</v>
      </c>
    </row>
    <row r="276" spans="1:26" ht="14.5">
      <c r="A276" s="509">
        <v>272</v>
      </c>
      <c r="B276" s="524" t="s">
        <v>983</v>
      </c>
      <c r="C276" s="525" t="s">
        <v>984</v>
      </c>
      <c r="D276" s="526">
        <v>100.42</v>
      </c>
      <c r="E276" s="527">
        <v>3</v>
      </c>
      <c r="F276" s="101">
        <f t="shared" si="64"/>
        <v>2.9874526986656044E-2</v>
      </c>
      <c r="G276" s="102">
        <f t="shared" si="73"/>
        <v>9.6000000000000002E-2</v>
      </c>
      <c r="H276" s="102">
        <f t="shared" si="74"/>
        <v>0.05</v>
      </c>
      <c r="I276" s="102">
        <f t="shared" si="75"/>
        <v>5.79E-2</v>
      </c>
      <c r="J276" s="528">
        <v>194.53899999999999</v>
      </c>
      <c r="K276" s="529">
        <f t="shared" si="65"/>
        <v>19.535606379999997</v>
      </c>
      <c r="L276" s="530">
        <f t="shared" si="76"/>
        <v>4.7928024949506041E-4</v>
      </c>
      <c r="M276" s="531">
        <f t="shared" si="66"/>
        <v>1.4318270747711423E-5</v>
      </c>
      <c r="N276" s="532">
        <f t="shared" si="67"/>
        <v>19.535606379999997</v>
      </c>
      <c r="O276" s="533">
        <f t="shared" si="77"/>
        <v>5.8353491246008538E-4</v>
      </c>
      <c r="P276" s="533">
        <f t="shared" si="68"/>
        <v>5.6019351596168196E-5</v>
      </c>
      <c r="Q276" s="532">
        <f t="shared" si="69"/>
        <v>19.535606379999997</v>
      </c>
      <c r="R276" s="534">
        <f t="shared" si="78"/>
        <v>5.882741217600407E-4</v>
      </c>
      <c r="S276" s="533">
        <f t="shared" si="70"/>
        <v>2.9413706088002036E-5</v>
      </c>
      <c r="T276" s="532">
        <f t="shared" si="71"/>
        <v>19.535606379999997</v>
      </c>
      <c r="U276" s="534">
        <f t="shared" si="79"/>
        <v>5.448814090599131E-4</v>
      </c>
      <c r="V276" s="533">
        <f t="shared" si="72"/>
        <v>3.1548633584568969E-5</v>
      </c>
      <c r="W276" s="533"/>
      <c r="X276" s="535">
        <v>9.6000000000000002E-2</v>
      </c>
      <c r="Y276" s="535">
        <v>0.05</v>
      </c>
      <c r="Z276" s="535">
        <v>5.79E-2</v>
      </c>
    </row>
    <row r="277" spans="1:26" ht="14.5">
      <c r="A277" s="509">
        <v>273</v>
      </c>
      <c r="B277" s="524" t="s">
        <v>985</v>
      </c>
      <c r="C277" s="525" t="s">
        <v>986</v>
      </c>
      <c r="D277" s="526">
        <v>115.49</v>
      </c>
      <c r="E277" s="527">
        <v>2.23</v>
      </c>
      <c r="F277" s="101">
        <f t="shared" si="64"/>
        <v>1.9309031084942418E-2</v>
      </c>
      <c r="G277" s="102">
        <f t="shared" si="73"/>
        <v>0.2</v>
      </c>
      <c r="H277" s="102" t="str">
        <f t="shared" si="74"/>
        <v>NMF</v>
      </c>
      <c r="I277" s="102" t="str">
        <f t="shared" si="75"/>
        <v>NMF</v>
      </c>
      <c r="J277" s="528">
        <v>230.54</v>
      </c>
      <c r="K277" s="529">
        <f t="shared" si="65"/>
        <v>26.625064599999998</v>
      </c>
      <c r="L277" s="530">
        <f t="shared" si="76"/>
        <v>6.5321072487283091E-4</v>
      </c>
      <c r="M277" s="531">
        <f t="shared" si="66"/>
        <v>1.2612866191587261E-5</v>
      </c>
      <c r="N277" s="532">
        <f t="shared" si="67"/>
        <v>26.625064599999998</v>
      </c>
      <c r="O277" s="533">
        <f t="shared" si="77"/>
        <v>7.9529933386204518E-4</v>
      </c>
      <c r="P277" s="533">
        <f t="shared" si="68"/>
        <v>1.5905986677240905E-4</v>
      </c>
      <c r="Q277" s="532" t="str">
        <f t="shared" si="69"/>
        <v>--</v>
      </c>
      <c r="R277" s="534" t="str">
        <f t="shared" si="78"/>
        <v>--</v>
      </c>
      <c r="S277" s="533" t="str">
        <f t="shared" si="70"/>
        <v>--</v>
      </c>
      <c r="T277" s="532" t="str">
        <f t="shared" si="71"/>
        <v>--</v>
      </c>
      <c r="U277" s="534" t="str">
        <f t="shared" si="79"/>
        <v>--</v>
      </c>
      <c r="V277" s="533" t="str">
        <f t="shared" si="72"/>
        <v>--</v>
      </c>
      <c r="W277" s="533"/>
      <c r="X277" s="535">
        <v>0.2</v>
      </c>
      <c r="Y277" s="535">
        <v>-3.5000000000000003E-2</v>
      </c>
      <c r="Z277" s="535">
        <v>0.20019999999999999</v>
      </c>
    </row>
    <row r="278" spans="1:26" ht="14.5">
      <c r="A278" s="509">
        <v>274</v>
      </c>
      <c r="B278" s="524" t="s">
        <v>987</v>
      </c>
      <c r="C278" s="525" t="s">
        <v>988</v>
      </c>
      <c r="D278" s="526">
        <v>117.37</v>
      </c>
      <c r="E278" s="527">
        <v>0.08</v>
      </c>
      <c r="F278" s="101">
        <f t="shared" si="64"/>
        <v>6.8160518019936948E-4</v>
      </c>
      <c r="G278" s="102" t="str">
        <f t="shared" si="73"/>
        <v>NMF</v>
      </c>
      <c r="H278" s="102" t="str">
        <f t="shared" si="74"/>
        <v>NMF</v>
      </c>
      <c r="I278" s="102" t="str">
        <f t="shared" si="75"/>
        <v>NMF</v>
      </c>
      <c r="J278" s="528">
        <v>24400</v>
      </c>
      <c r="K278" s="529">
        <f t="shared" si="65"/>
        <v>2863.828</v>
      </c>
      <c r="L278" s="530">
        <f t="shared" si="76"/>
        <v>7.0260230046206532E-2</v>
      </c>
      <c r="M278" s="531">
        <f t="shared" si="66"/>
        <v>4.7889736761493755E-5</v>
      </c>
      <c r="N278" s="532" t="str">
        <f t="shared" si="67"/>
        <v>--</v>
      </c>
      <c r="O278" s="533" t="str">
        <f t="shared" si="77"/>
        <v>--</v>
      </c>
      <c r="P278" s="533" t="str">
        <f t="shared" si="68"/>
        <v>--</v>
      </c>
      <c r="Q278" s="532" t="str">
        <f t="shared" si="69"/>
        <v>--</v>
      </c>
      <c r="R278" s="534" t="str">
        <f t="shared" si="78"/>
        <v>--</v>
      </c>
      <c r="S278" s="533" t="str">
        <f t="shared" si="70"/>
        <v>--</v>
      </c>
      <c r="T278" s="532" t="str">
        <f t="shared" si="71"/>
        <v>--</v>
      </c>
      <c r="U278" s="534" t="str">
        <f t="shared" si="79"/>
        <v>--</v>
      </c>
      <c r="V278" s="533" t="str">
        <f t="shared" si="72"/>
        <v>--</v>
      </c>
      <c r="W278" s="533"/>
      <c r="X278" s="535">
        <v>0.44033</v>
      </c>
      <c r="Y278" s="535">
        <v>0.3</v>
      </c>
      <c r="Z278" s="535">
        <v>0.24670000000000003</v>
      </c>
    </row>
    <row r="279" spans="1:26" ht="14.5">
      <c r="A279" s="509">
        <v>275</v>
      </c>
      <c r="B279" s="524" t="s">
        <v>989</v>
      </c>
      <c r="C279" s="525" t="s">
        <v>990</v>
      </c>
      <c r="D279" s="526">
        <v>28.48</v>
      </c>
      <c r="E279" s="527">
        <v>0.2</v>
      </c>
      <c r="F279" s="101">
        <f t="shared" si="64"/>
        <v>7.0224719101123602E-3</v>
      </c>
      <c r="G279" s="102" t="str">
        <f t="shared" si="73"/>
        <v>NMF</v>
      </c>
      <c r="H279" s="102">
        <f t="shared" si="74"/>
        <v>0.17</v>
      </c>
      <c r="I279" s="102" t="str">
        <f t="shared" si="75"/>
        <v>NMF</v>
      </c>
      <c r="J279" s="528">
        <v>378.05500000000001</v>
      </c>
      <c r="K279" s="529">
        <f t="shared" si="65"/>
        <v>10.7670064</v>
      </c>
      <c r="L279" s="530">
        <f t="shared" si="76"/>
        <v>2.6415425317895415E-4</v>
      </c>
      <c r="M279" s="531">
        <f t="shared" si="66"/>
        <v>1.8550158228859141E-6</v>
      </c>
      <c r="N279" s="532" t="str">
        <f t="shared" si="67"/>
        <v>--</v>
      </c>
      <c r="O279" s="533" t="str">
        <f t="shared" si="77"/>
        <v>--</v>
      </c>
      <c r="P279" s="533" t="str">
        <f t="shared" si="68"/>
        <v>--</v>
      </c>
      <c r="Q279" s="532">
        <f t="shared" si="69"/>
        <v>10.7670064</v>
      </c>
      <c r="R279" s="534">
        <f t="shared" si="78"/>
        <v>3.2422598565608174E-4</v>
      </c>
      <c r="S279" s="533">
        <f t="shared" si="70"/>
        <v>5.5118417561533903E-5</v>
      </c>
      <c r="T279" s="532" t="str">
        <f t="shared" si="71"/>
        <v>--</v>
      </c>
      <c r="U279" s="534" t="str">
        <f t="shared" si="79"/>
        <v>--</v>
      </c>
      <c r="V279" s="533" t="str">
        <f t="shared" si="72"/>
        <v>--</v>
      </c>
      <c r="W279" s="533"/>
      <c r="X279" s="535">
        <v>0.21600000000000003</v>
      </c>
      <c r="Y279" s="535">
        <v>0.17</v>
      </c>
      <c r="Z279" s="535" t="s">
        <v>36</v>
      </c>
    </row>
    <row r="280" spans="1:26" ht="14.5">
      <c r="A280" s="509">
        <v>276</v>
      </c>
      <c r="B280" s="524" t="s">
        <v>991</v>
      </c>
      <c r="C280" s="525" t="s">
        <v>992</v>
      </c>
      <c r="D280" s="526">
        <v>188.57</v>
      </c>
      <c r="E280" s="527">
        <v>4.0599999999999996</v>
      </c>
      <c r="F280" s="101">
        <f t="shared" si="64"/>
        <v>2.1530466139894996E-2</v>
      </c>
      <c r="G280" s="102">
        <f t="shared" si="73"/>
        <v>8.2200000000000009E-2</v>
      </c>
      <c r="H280" s="102">
        <f t="shared" si="74"/>
        <v>7.4999999999999997E-2</v>
      </c>
      <c r="I280" s="102">
        <f t="shared" si="75"/>
        <v>8.2299999999999998E-2</v>
      </c>
      <c r="J280" s="528">
        <v>252.62899999999999</v>
      </c>
      <c r="K280" s="529">
        <f t="shared" si="65"/>
        <v>47.638250530000001</v>
      </c>
      <c r="L280" s="530">
        <f t="shared" si="76"/>
        <v>1.1687414332273516E-3</v>
      </c>
      <c r="M280" s="531">
        <f t="shared" si="66"/>
        <v>2.5163547854393842E-5</v>
      </c>
      <c r="N280" s="532">
        <f t="shared" si="67"/>
        <v>47.638250530000001</v>
      </c>
      <c r="O280" s="533">
        <f t="shared" si="77"/>
        <v>1.4229700277558096E-3</v>
      </c>
      <c r="P280" s="533">
        <f t="shared" si="68"/>
        <v>1.1696813628152756E-4</v>
      </c>
      <c r="Q280" s="532">
        <f t="shared" si="69"/>
        <v>47.638250530000001</v>
      </c>
      <c r="R280" s="534">
        <f t="shared" si="78"/>
        <v>1.4345267532320412E-3</v>
      </c>
      <c r="S280" s="533">
        <f t="shared" si="70"/>
        <v>1.0758950649240309E-4</v>
      </c>
      <c r="T280" s="532">
        <f t="shared" si="71"/>
        <v>47.638250530000001</v>
      </c>
      <c r="U280" s="534">
        <f t="shared" si="79"/>
        <v>1.3287121253891456E-3</v>
      </c>
      <c r="V280" s="533">
        <f t="shared" si="72"/>
        <v>1.0935300791952668E-4</v>
      </c>
      <c r="W280" s="533"/>
      <c r="X280" s="535">
        <v>8.2200000000000009E-2</v>
      </c>
      <c r="Y280" s="535">
        <v>7.4999999999999997E-2</v>
      </c>
      <c r="Z280" s="535">
        <v>8.2299999999999998E-2</v>
      </c>
    </row>
    <row r="281" spans="1:26" ht="14.5">
      <c r="A281" s="509">
        <v>277</v>
      </c>
      <c r="B281" s="524" t="s">
        <v>1344</v>
      </c>
      <c r="C281" s="525" t="s">
        <v>150</v>
      </c>
      <c r="D281" s="526">
        <v>56.25</v>
      </c>
      <c r="E281" s="527">
        <v>3.29</v>
      </c>
      <c r="F281" s="101">
        <f t="shared" si="64"/>
        <v>5.8488888888888889E-2</v>
      </c>
      <c r="G281" s="102" t="str">
        <f t="shared" si="73"/>
        <v>NMF</v>
      </c>
      <c r="H281" s="102">
        <f t="shared" si="74"/>
        <v>0.05</v>
      </c>
      <c r="I281" s="102">
        <f t="shared" si="75"/>
        <v>3.0699999999999998E-2</v>
      </c>
      <c r="J281" s="528">
        <v>903.08</v>
      </c>
      <c r="K281" s="529">
        <f t="shared" si="65"/>
        <v>50.798250000000003</v>
      </c>
      <c r="L281" s="530">
        <f t="shared" si="76"/>
        <v>1.2462678383424952E-3</v>
      </c>
      <c r="M281" s="531">
        <f t="shared" si="66"/>
        <v>7.2892821122609935E-5</v>
      </c>
      <c r="N281" s="532" t="str">
        <f t="shared" si="67"/>
        <v>--</v>
      </c>
      <c r="O281" s="533" t="str">
        <f t="shared" si="77"/>
        <v>--</v>
      </c>
      <c r="P281" s="533" t="str">
        <f t="shared" si="68"/>
        <v>--</v>
      </c>
      <c r="Q281" s="532">
        <f t="shared" si="69"/>
        <v>50.798250000000003</v>
      </c>
      <c r="R281" s="534">
        <f t="shared" si="78"/>
        <v>1.5296835595689862E-3</v>
      </c>
      <c r="S281" s="533">
        <f t="shared" si="70"/>
        <v>7.6484177978449315E-5</v>
      </c>
      <c r="T281" s="532">
        <f t="shared" si="71"/>
        <v>50.798250000000003</v>
      </c>
      <c r="U281" s="534">
        <f t="shared" si="79"/>
        <v>1.4168499047009224E-3</v>
      </c>
      <c r="V281" s="533">
        <f t="shared" si="72"/>
        <v>4.3497292074318318E-5</v>
      </c>
      <c r="W281" s="533"/>
      <c r="X281" s="535">
        <v>0.2104</v>
      </c>
      <c r="Y281" s="535">
        <v>0.05</v>
      </c>
      <c r="Z281" s="535">
        <v>3.0699999999999998E-2</v>
      </c>
    </row>
    <row r="282" spans="1:26" ht="14.5">
      <c r="A282" s="509">
        <v>278</v>
      </c>
      <c r="B282" s="524" t="s">
        <v>993</v>
      </c>
      <c r="C282" s="525" t="s">
        <v>994</v>
      </c>
      <c r="D282" s="526">
        <v>160.12</v>
      </c>
      <c r="E282" s="527">
        <v>1.1200000000000001</v>
      </c>
      <c r="F282" s="101">
        <f t="shared" si="64"/>
        <v>6.9947539345490885E-3</v>
      </c>
      <c r="G282" s="102">
        <f t="shared" si="73"/>
        <v>0.10034999999999999</v>
      </c>
      <c r="H282" s="102">
        <f t="shared" si="74"/>
        <v>7.0000000000000007E-2</v>
      </c>
      <c r="I282" s="102">
        <f t="shared" si="75"/>
        <v>9.4E-2</v>
      </c>
      <c r="J282" s="528">
        <v>211.32499999999999</v>
      </c>
      <c r="K282" s="529">
        <f t="shared" si="65"/>
        <v>33.837358999999999</v>
      </c>
      <c r="L282" s="530">
        <f t="shared" si="76"/>
        <v>8.3015482336791068E-4</v>
      </c>
      <c r="M282" s="531">
        <f t="shared" si="66"/>
        <v>5.8067287170375969E-6</v>
      </c>
      <c r="N282" s="532">
        <f t="shared" si="67"/>
        <v>33.837358999999999</v>
      </c>
      <c r="O282" s="533">
        <f t="shared" si="77"/>
        <v>1.0107329118875033E-3</v>
      </c>
      <c r="P282" s="533">
        <f t="shared" si="68"/>
        <v>1.0142704770791095E-4</v>
      </c>
      <c r="Q282" s="532">
        <f t="shared" si="69"/>
        <v>33.837358999999999</v>
      </c>
      <c r="R282" s="534">
        <f t="shared" si="78"/>
        <v>1.0189416320746023E-3</v>
      </c>
      <c r="S282" s="533">
        <f t="shared" si="70"/>
        <v>7.132591424522217E-5</v>
      </c>
      <c r="T282" s="532">
        <f t="shared" si="71"/>
        <v>33.837358999999999</v>
      </c>
      <c r="U282" s="534">
        <f t="shared" si="79"/>
        <v>9.4378170260748942E-4</v>
      </c>
      <c r="V282" s="533">
        <f t="shared" si="72"/>
        <v>8.8715480045104003E-5</v>
      </c>
      <c r="W282" s="533"/>
      <c r="X282" s="535">
        <v>0.10034999999999999</v>
      </c>
      <c r="Y282" s="535">
        <v>7.0000000000000007E-2</v>
      </c>
      <c r="Z282" s="535">
        <v>9.4E-2</v>
      </c>
    </row>
    <row r="283" spans="1:26" ht="14.5">
      <c r="A283" s="509">
        <v>279</v>
      </c>
      <c r="B283" s="524" t="s">
        <v>995</v>
      </c>
      <c r="C283" s="525" t="s">
        <v>996</v>
      </c>
      <c r="D283" s="526">
        <v>82.25</v>
      </c>
      <c r="E283" s="527">
        <v>4.12</v>
      </c>
      <c r="F283" s="101">
        <f t="shared" si="64"/>
        <v>5.0091185410334346E-2</v>
      </c>
      <c r="G283" s="102">
        <f t="shared" si="73"/>
        <v>0.04</v>
      </c>
      <c r="H283" s="102">
        <f t="shared" si="74"/>
        <v>0.14499999999999999</v>
      </c>
      <c r="I283" s="102">
        <f t="shared" si="75"/>
        <v>9.4399999999999998E-2</v>
      </c>
      <c r="J283" s="528">
        <v>624.63199999999995</v>
      </c>
      <c r="K283" s="529">
        <f t="shared" si="65"/>
        <v>51.375981999999993</v>
      </c>
      <c r="L283" s="530">
        <f t="shared" si="76"/>
        <v>1.2604417284032999E-3</v>
      </c>
      <c r="M283" s="531">
        <f t="shared" si="66"/>
        <v>6.3137020316371986E-5</v>
      </c>
      <c r="N283" s="532">
        <f t="shared" si="67"/>
        <v>51.375981999999993</v>
      </c>
      <c r="O283" s="533">
        <f t="shared" si="77"/>
        <v>1.5346172816838319E-3</v>
      </c>
      <c r="P283" s="533">
        <f t="shared" si="68"/>
        <v>6.1384691267353275E-5</v>
      </c>
      <c r="Q283" s="532">
        <f t="shared" si="69"/>
        <v>51.375981999999993</v>
      </c>
      <c r="R283" s="534">
        <f t="shared" si="78"/>
        <v>1.547080756169989E-3</v>
      </c>
      <c r="S283" s="533">
        <f t="shared" si="70"/>
        <v>2.2432670964464839E-4</v>
      </c>
      <c r="T283" s="532">
        <f t="shared" si="71"/>
        <v>51.375981999999993</v>
      </c>
      <c r="U283" s="534">
        <f t="shared" si="79"/>
        <v>1.4329638363647626E-3</v>
      </c>
      <c r="V283" s="533">
        <f t="shared" si="72"/>
        <v>1.3527178615283357E-4</v>
      </c>
      <c r="W283" s="533"/>
      <c r="X283" s="535">
        <v>0.04</v>
      </c>
      <c r="Y283" s="535">
        <v>0.14499999999999999</v>
      </c>
      <c r="Z283" s="535">
        <v>9.4399999999999998E-2</v>
      </c>
    </row>
    <row r="284" spans="1:26" ht="14.5">
      <c r="A284" s="509">
        <v>280</v>
      </c>
      <c r="B284" s="524" t="s">
        <v>997</v>
      </c>
      <c r="C284" s="525" t="s">
        <v>998</v>
      </c>
      <c r="D284" s="526">
        <v>76.459999999999994</v>
      </c>
      <c r="E284" s="527">
        <v>2.8</v>
      </c>
      <c r="F284" s="101">
        <f t="shared" si="64"/>
        <v>3.6620455139942457E-2</v>
      </c>
      <c r="G284" s="102">
        <f t="shared" si="73"/>
        <v>0.06</v>
      </c>
      <c r="H284" s="102">
        <f t="shared" si="74"/>
        <v>7.0000000000000007E-2</v>
      </c>
      <c r="I284" s="102">
        <f t="shared" si="75"/>
        <v>4.99E-2</v>
      </c>
      <c r="J284" s="528">
        <v>195.10900000000001</v>
      </c>
      <c r="K284" s="529">
        <f t="shared" si="65"/>
        <v>14.91803414</v>
      </c>
      <c r="L284" s="530">
        <f t="shared" si="76"/>
        <v>3.6599422539117672E-4</v>
      </c>
      <c r="M284" s="531">
        <f t="shared" si="66"/>
        <v>1.3402875112415575E-5</v>
      </c>
      <c r="N284" s="532">
        <f t="shared" si="67"/>
        <v>14.91803414</v>
      </c>
      <c r="O284" s="533">
        <f t="shared" si="77"/>
        <v>4.4560652874709827E-4</v>
      </c>
      <c r="P284" s="533">
        <f t="shared" si="68"/>
        <v>2.6736391724825896E-5</v>
      </c>
      <c r="Q284" s="532">
        <f t="shared" si="69"/>
        <v>14.91803414</v>
      </c>
      <c r="R284" s="534">
        <f t="shared" si="78"/>
        <v>4.4922554546754774E-4</v>
      </c>
      <c r="S284" s="533">
        <f t="shared" si="70"/>
        <v>3.1445788182728348E-5</v>
      </c>
      <c r="T284" s="532">
        <f t="shared" si="71"/>
        <v>14.91803414</v>
      </c>
      <c r="U284" s="534">
        <f t="shared" si="79"/>
        <v>4.1608943712793467E-4</v>
      </c>
      <c r="V284" s="533">
        <f t="shared" si="72"/>
        <v>2.076286291268394E-5</v>
      </c>
      <c r="W284" s="533"/>
      <c r="X284" s="535">
        <v>0.06</v>
      </c>
      <c r="Y284" s="535">
        <v>7.0000000000000007E-2</v>
      </c>
      <c r="Z284" s="535">
        <v>4.99E-2</v>
      </c>
    </row>
    <row r="285" spans="1:26" ht="14.5">
      <c r="A285" s="509">
        <v>281</v>
      </c>
      <c r="B285" s="524" t="s">
        <v>999</v>
      </c>
      <c r="C285" s="525" t="s">
        <v>426</v>
      </c>
      <c r="D285" s="526">
        <v>150.30000000000001</v>
      </c>
      <c r="E285" s="527">
        <v>1.9</v>
      </c>
      <c r="F285" s="101">
        <f t="shared" si="64"/>
        <v>1.2641383898868928E-2</v>
      </c>
      <c r="G285" s="102">
        <f t="shared" si="73"/>
        <v>0.11314</v>
      </c>
      <c r="H285" s="102">
        <f t="shared" si="74"/>
        <v>0.12</v>
      </c>
      <c r="I285" s="102">
        <f t="shared" si="75"/>
        <v>9.6500000000000002E-2</v>
      </c>
      <c r="J285" s="528">
        <v>2804.2339999999999</v>
      </c>
      <c r="K285" s="529">
        <f t="shared" si="65"/>
        <v>421.47637020000002</v>
      </c>
      <c r="L285" s="530">
        <f t="shared" si="76"/>
        <v>1.0340364969297076E-2</v>
      </c>
      <c r="M285" s="531">
        <f t="shared" si="66"/>
        <v>1.3071652323130037E-4</v>
      </c>
      <c r="N285" s="532">
        <f t="shared" si="67"/>
        <v>421.47637020000002</v>
      </c>
      <c r="O285" s="533">
        <f t="shared" si="77"/>
        <v>1.2589636175329797E-2</v>
      </c>
      <c r="P285" s="533">
        <f t="shared" si="68"/>
        <v>1.4243914368768133E-3</v>
      </c>
      <c r="Q285" s="532">
        <f t="shared" si="69"/>
        <v>421.47637020000002</v>
      </c>
      <c r="R285" s="534">
        <f t="shared" si="78"/>
        <v>1.2691883563739927E-2</v>
      </c>
      <c r="S285" s="533">
        <f t="shared" si="70"/>
        <v>1.5230260276487913E-3</v>
      </c>
      <c r="T285" s="532">
        <f t="shared" si="71"/>
        <v>421.47637020000002</v>
      </c>
      <c r="U285" s="534">
        <f t="shared" si="79"/>
        <v>1.1755695421624973E-2</v>
      </c>
      <c r="V285" s="533">
        <f t="shared" si="72"/>
        <v>1.1344246081868099E-3</v>
      </c>
      <c r="W285" s="533"/>
      <c r="X285" s="535">
        <v>0.11314</v>
      </c>
      <c r="Y285" s="535">
        <v>0.12</v>
      </c>
      <c r="Z285" s="535">
        <v>9.6500000000000002E-2</v>
      </c>
    </row>
    <row r="286" spans="1:26" ht="14.5">
      <c r="A286" s="509">
        <v>282</v>
      </c>
      <c r="B286" s="524" t="s">
        <v>1000</v>
      </c>
      <c r="C286" s="525" t="s">
        <v>1001</v>
      </c>
      <c r="D286" s="526">
        <v>97.32</v>
      </c>
      <c r="E286" s="527">
        <v>1.68</v>
      </c>
      <c r="F286" s="101">
        <f t="shared" si="64"/>
        <v>1.7262638717632554E-2</v>
      </c>
      <c r="G286" s="102">
        <f t="shared" si="73"/>
        <v>9.1999999999999998E-2</v>
      </c>
      <c r="H286" s="102">
        <f t="shared" si="74"/>
        <v>0.1</v>
      </c>
      <c r="I286" s="102" t="str">
        <f t="shared" si="75"/>
        <v>NMF</v>
      </c>
      <c r="J286" s="528">
        <v>394.67700000000002</v>
      </c>
      <c r="K286" s="529">
        <f t="shared" si="65"/>
        <v>38.409965640000003</v>
      </c>
      <c r="L286" s="530">
        <f t="shared" si="76"/>
        <v>9.4233767598238748E-4</v>
      </c>
      <c r="M286" s="531">
        <f t="shared" si="66"/>
        <v>1.6267234850497443E-5</v>
      </c>
      <c r="N286" s="532">
        <f t="shared" si="67"/>
        <v>38.409965640000003</v>
      </c>
      <c r="O286" s="533">
        <f t="shared" si="77"/>
        <v>1.1473181585127891E-3</v>
      </c>
      <c r="P286" s="533">
        <f t="shared" si="68"/>
        <v>1.0555327058317659E-4</v>
      </c>
      <c r="Q286" s="532">
        <f t="shared" si="69"/>
        <v>38.409965640000003</v>
      </c>
      <c r="R286" s="534">
        <f t="shared" si="78"/>
        <v>1.1566361629213142E-3</v>
      </c>
      <c r="S286" s="533">
        <f t="shared" si="70"/>
        <v>1.1566361629213143E-4</v>
      </c>
      <c r="T286" s="532" t="str">
        <f t="shared" si="71"/>
        <v>--</v>
      </c>
      <c r="U286" s="534" t="str">
        <f t="shared" si="79"/>
        <v>--</v>
      </c>
      <c r="V286" s="533" t="str">
        <f t="shared" si="72"/>
        <v>--</v>
      </c>
      <c r="W286" s="533"/>
      <c r="X286" s="535">
        <v>9.1999999999999998E-2</v>
      </c>
      <c r="Y286" s="535">
        <v>0.1</v>
      </c>
      <c r="Z286" s="535" t="s">
        <v>36</v>
      </c>
    </row>
    <row r="287" spans="1:26" ht="14.5">
      <c r="A287" s="509">
        <v>283</v>
      </c>
      <c r="B287" s="524" t="s">
        <v>1002</v>
      </c>
      <c r="C287" s="525" t="s">
        <v>1003</v>
      </c>
      <c r="D287" s="526">
        <v>41.44</v>
      </c>
      <c r="E287" s="527">
        <v>1.02</v>
      </c>
      <c r="F287" s="101">
        <f t="shared" si="64"/>
        <v>2.4613899613899617E-2</v>
      </c>
      <c r="G287" s="102">
        <f t="shared" si="73"/>
        <v>4.2999999999999997E-2</v>
      </c>
      <c r="H287" s="102">
        <f t="shared" si="74"/>
        <v>0.06</v>
      </c>
      <c r="I287" s="102" t="str">
        <f t="shared" si="75"/>
        <v>NMF</v>
      </c>
      <c r="J287" s="528">
        <v>939.78300000000002</v>
      </c>
      <c r="K287" s="529">
        <f t="shared" si="65"/>
        <v>38.944607519999998</v>
      </c>
      <c r="L287" s="530">
        <f t="shared" si="76"/>
        <v>9.5545440697361182E-4</v>
      </c>
      <c r="M287" s="531">
        <f t="shared" si="66"/>
        <v>2.351745885890647E-5</v>
      </c>
      <c r="N287" s="532">
        <f t="shared" si="67"/>
        <v>38.944607519999998</v>
      </c>
      <c r="O287" s="533">
        <f t="shared" si="77"/>
        <v>1.1632880852493704E-3</v>
      </c>
      <c r="P287" s="533">
        <f t="shared" si="68"/>
        <v>5.0021387665722922E-5</v>
      </c>
      <c r="Q287" s="532">
        <f t="shared" si="69"/>
        <v>38.944607519999998</v>
      </c>
      <c r="R287" s="534">
        <f t="shared" si="78"/>
        <v>1.1727357902528276E-3</v>
      </c>
      <c r="S287" s="533">
        <f t="shared" si="70"/>
        <v>7.036414741516965E-5</v>
      </c>
      <c r="T287" s="532" t="str">
        <f t="shared" si="71"/>
        <v>--</v>
      </c>
      <c r="U287" s="534" t="str">
        <f t="shared" si="79"/>
        <v>--</v>
      </c>
      <c r="V287" s="533" t="str">
        <f t="shared" si="72"/>
        <v>--</v>
      </c>
      <c r="W287" s="533"/>
      <c r="X287" s="535">
        <v>4.2999999999999997E-2</v>
      </c>
      <c r="Y287" s="535">
        <v>0.06</v>
      </c>
      <c r="Z287" s="535" t="s">
        <v>36</v>
      </c>
    </row>
    <row r="288" spans="1:26" ht="14.5">
      <c r="A288" s="509">
        <v>284</v>
      </c>
      <c r="B288" s="524" t="s">
        <v>1004</v>
      </c>
      <c r="C288" s="525" t="s">
        <v>1005</v>
      </c>
      <c r="D288" s="526">
        <v>11.68</v>
      </c>
      <c r="E288" s="527">
        <v>0.2</v>
      </c>
      <c r="F288" s="101">
        <f t="shared" si="64"/>
        <v>1.7123287671232879E-2</v>
      </c>
      <c r="G288" s="102">
        <f t="shared" si="73"/>
        <v>0.14846999999999999</v>
      </c>
      <c r="H288" s="102">
        <f t="shared" si="74"/>
        <v>5.5E-2</v>
      </c>
      <c r="I288" s="102">
        <f t="shared" si="75"/>
        <v>2.5399999999999999E-2</v>
      </c>
      <c r="J288" s="528">
        <v>630.00800000000004</v>
      </c>
      <c r="K288" s="529">
        <f t="shared" si="65"/>
        <v>7.3584934400000002</v>
      </c>
      <c r="L288" s="530">
        <f t="shared" si="76"/>
        <v>1.8053089846453826E-4</v>
      </c>
      <c r="M288" s="531">
        <f t="shared" si="66"/>
        <v>3.0912825079544229E-6</v>
      </c>
      <c r="N288" s="532">
        <f t="shared" si="67"/>
        <v>7.3584934400000002</v>
      </c>
      <c r="O288" s="533">
        <f t="shared" si="77"/>
        <v>2.1980059087106326E-4</v>
      </c>
      <c r="P288" s="533">
        <f t="shared" si="68"/>
        <v>3.263379372662676E-5</v>
      </c>
      <c r="Q288" s="532">
        <f t="shared" si="69"/>
        <v>7.3584934400000002</v>
      </c>
      <c r="R288" s="534">
        <f t="shared" si="78"/>
        <v>2.2158571286145159E-4</v>
      </c>
      <c r="S288" s="533">
        <f t="shared" si="70"/>
        <v>1.2187214207379838E-5</v>
      </c>
      <c r="T288" s="532">
        <f t="shared" si="71"/>
        <v>7.3584934400000002</v>
      </c>
      <c r="U288" s="534">
        <f t="shared" si="79"/>
        <v>2.0524094293024588E-4</v>
      </c>
      <c r="V288" s="533">
        <f t="shared" si="72"/>
        <v>5.2131199504282453E-6</v>
      </c>
      <c r="W288" s="533"/>
      <c r="X288" s="535">
        <v>0.14846999999999999</v>
      </c>
      <c r="Y288" s="535">
        <v>5.5E-2</v>
      </c>
      <c r="Z288" s="535">
        <v>2.5399999999999999E-2</v>
      </c>
    </row>
    <row r="289" spans="1:26" ht="14.5">
      <c r="A289" s="509">
        <v>285</v>
      </c>
      <c r="B289" s="524" t="s">
        <v>1006</v>
      </c>
      <c r="C289" s="525" t="s">
        <v>1007</v>
      </c>
      <c r="D289" s="526">
        <v>249.35</v>
      </c>
      <c r="E289" s="527">
        <v>1.5</v>
      </c>
      <c r="F289" s="101">
        <f t="shared" si="64"/>
        <v>6.0156406657309001E-3</v>
      </c>
      <c r="G289" s="102">
        <f t="shared" si="73"/>
        <v>9.9930000000000005E-2</v>
      </c>
      <c r="H289" s="102">
        <f t="shared" si="74"/>
        <v>0.125</v>
      </c>
      <c r="I289" s="102">
        <f t="shared" si="75"/>
        <v>0.1139</v>
      </c>
      <c r="J289" s="528">
        <v>57.851999999999997</v>
      </c>
      <c r="K289" s="529">
        <f t="shared" si="65"/>
        <v>14.4253962</v>
      </c>
      <c r="L289" s="530">
        <f t="shared" si="76"/>
        <v>3.5390800548066209E-4</v>
      </c>
      <c r="M289" s="531">
        <f t="shared" si="66"/>
        <v>2.1289833896971853E-6</v>
      </c>
      <c r="N289" s="532">
        <f t="shared" si="67"/>
        <v>14.4253962</v>
      </c>
      <c r="O289" s="533">
        <f t="shared" si="77"/>
        <v>4.3089127335135477E-4</v>
      </c>
      <c r="P289" s="533">
        <f t="shared" si="68"/>
        <v>4.3058964946000884E-5</v>
      </c>
      <c r="Q289" s="532">
        <f t="shared" si="69"/>
        <v>14.4253962</v>
      </c>
      <c r="R289" s="534">
        <f t="shared" si="78"/>
        <v>4.3439077935576373E-4</v>
      </c>
      <c r="S289" s="533">
        <f t="shared" si="70"/>
        <v>5.4298847419470466E-5</v>
      </c>
      <c r="T289" s="532">
        <f t="shared" si="71"/>
        <v>14.4253962</v>
      </c>
      <c r="U289" s="534">
        <f t="shared" si="79"/>
        <v>4.0234892405236497E-4</v>
      </c>
      <c r="V289" s="533">
        <f t="shared" si="72"/>
        <v>4.5827542449564373E-5</v>
      </c>
      <c r="W289" s="533"/>
      <c r="X289" s="535">
        <v>9.9930000000000005E-2</v>
      </c>
      <c r="Y289" s="535">
        <v>0.125</v>
      </c>
      <c r="Z289" s="535">
        <v>0.1139</v>
      </c>
    </row>
    <row r="290" spans="1:26" ht="14.5">
      <c r="A290" s="509">
        <v>286</v>
      </c>
      <c r="B290" s="524" t="s">
        <v>1008</v>
      </c>
      <c r="C290" s="525" t="s">
        <v>1009</v>
      </c>
      <c r="D290" s="526">
        <v>151.33000000000001</v>
      </c>
      <c r="E290" s="527">
        <v>3.92</v>
      </c>
      <c r="F290" s="101">
        <f t="shared" si="64"/>
        <v>2.5903654265512454E-2</v>
      </c>
      <c r="G290" s="102">
        <f t="shared" si="73"/>
        <v>6.5599999999999992E-2</v>
      </c>
      <c r="H290" s="102">
        <f t="shared" si="74"/>
        <v>0.08</v>
      </c>
      <c r="I290" s="102">
        <f t="shared" si="75"/>
        <v>8.2400000000000001E-2</v>
      </c>
      <c r="J290" s="528">
        <v>360.19099999999997</v>
      </c>
      <c r="K290" s="529">
        <f t="shared" si="65"/>
        <v>54.507704029999999</v>
      </c>
      <c r="L290" s="530">
        <f t="shared" si="76"/>
        <v>1.3372743839498527E-3</v>
      </c>
      <c r="M290" s="531">
        <f t="shared" si="66"/>
        <v>3.4640293299963141E-5</v>
      </c>
      <c r="N290" s="532">
        <f t="shared" si="67"/>
        <v>54.507704029999999</v>
      </c>
      <c r="O290" s="533">
        <f t="shared" si="77"/>
        <v>1.6281628366606299E-3</v>
      </c>
      <c r="P290" s="533">
        <f t="shared" si="68"/>
        <v>1.0680748208493731E-4</v>
      </c>
      <c r="Q290" s="532">
        <f t="shared" si="69"/>
        <v>54.507704029999999</v>
      </c>
      <c r="R290" s="534">
        <f t="shared" si="78"/>
        <v>1.6413860462622858E-3</v>
      </c>
      <c r="S290" s="533">
        <f t="shared" si="70"/>
        <v>1.3131088370098287E-4</v>
      </c>
      <c r="T290" s="532">
        <f t="shared" si="71"/>
        <v>54.507704029999999</v>
      </c>
      <c r="U290" s="534">
        <f t="shared" si="79"/>
        <v>1.5203129096055786E-3</v>
      </c>
      <c r="V290" s="533">
        <f t="shared" si="72"/>
        <v>1.2527378375149967E-4</v>
      </c>
      <c r="W290" s="533"/>
      <c r="X290" s="535">
        <v>6.5599999999999992E-2</v>
      </c>
      <c r="Y290" s="535">
        <v>0.08</v>
      </c>
      <c r="Z290" s="535">
        <v>8.2400000000000001E-2</v>
      </c>
    </row>
    <row r="291" spans="1:26" ht="14.5">
      <c r="A291" s="509">
        <v>287</v>
      </c>
      <c r="B291" s="524" t="s">
        <v>1010</v>
      </c>
      <c r="C291" s="525" t="s">
        <v>1011</v>
      </c>
      <c r="D291" s="526">
        <v>91.56</v>
      </c>
      <c r="E291" s="527">
        <v>4.5999999999999996</v>
      </c>
      <c r="F291" s="101">
        <f t="shared" si="64"/>
        <v>5.024027959807776E-2</v>
      </c>
      <c r="G291" s="102" t="str">
        <f t="shared" si="73"/>
        <v>NMF</v>
      </c>
      <c r="H291" s="102">
        <f t="shared" si="74"/>
        <v>0.06</v>
      </c>
      <c r="I291" s="102">
        <f t="shared" si="75"/>
        <v>4.7300000000000002E-2</v>
      </c>
      <c r="J291" s="528">
        <v>525</v>
      </c>
      <c r="K291" s="529">
        <f t="shared" si="65"/>
        <v>48.069000000000003</v>
      </c>
      <c r="L291" s="530">
        <f t="shared" si="76"/>
        <v>1.1793093014284034E-3</v>
      </c>
      <c r="M291" s="531">
        <f t="shared" si="66"/>
        <v>5.9248829036376752E-5</v>
      </c>
      <c r="N291" s="532" t="str">
        <f t="shared" si="67"/>
        <v>--</v>
      </c>
      <c r="O291" s="533" t="str">
        <f t="shared" si="77"/>
        <v>--</v>
      </c>
      <c r="P291" s="533" t="str">
        <f t="shared" si="68"/>
        <v>--</v>
      </c>
      <c r="Q291" s="532">
        <f t="shared" si="69"/>
        <v>48.069000000000003</v>
      </c>
      <c r="R291" s="534">
        <f t="shared" si="78"/>
        <v>1.4474978768938219E-3</v>
      </c>
      <c r="S291" s="533">
        <f t="shared" si="70"/>
        <v>8.6849872613629312E-5</v>
      </c>
      <c r="T291" s="532">
        <f t="shared" si="71"/>
        <v>48.069000000000003</v>
      </c>
      <c r="U291" s="534">
        <f t="shared" si="79"/>
        <v>1.340726463393299E-3</v>
      </c>
      <c r="V291" s="533">
        <f t="shared" si="72"/>
        <v>6.3416361718503041E-5</v>
      </c>
      <c r="W291" s="533"/>
      <c r="X291" s="535" t="s">
        <v>36</v>
      </c>
      <c r="Y291" s="535">
        <v>0.06</v>
      </c>
      <c r="Z291" s="535">
        <v>4.7300000000000002E-2</v>
      </c>
    </row>
    <row r="292" spans="1:26" ht="14.5">
      <c r="A292" s="509">
        <v>288</v>
      </c>
      <c r="B292" s="524" t="s">
        <v>1012</v>
      </c>
      <c r="C292" s="525" t="s">
        <v>1013</v>
      </c>
      <c r="D292" s="526">
        <v>17.18</v>
      </c>
      <c r="E292" s="527">
        <v>0.12</v>
      </c>
      <c r="F292" s="101">
        <f t="shared" si="64"/>
        <v>6.9848661233993014E-3</v>
      </c>
      <c r="G292" s="102">
        <f t="shared" si="73"/>
        <v>9.4499999999999987E-2</v>
      </c>
      <c r="H292" s="102">
        <f t="shared" si="74"/>
        <v>9.5000000000000001E-2</v>
      </c>
      <c r="I292" s="102">
        <f t="shared" si="75"/>
        <v>9.8400000000000001E-2</v>
      </c>
      <c r="J292" s="528">
        <v>2197.6840000000002</v>
      </c>
      <c r="K292" s="529">
        <f t="shared" si="65"/>
        <v>37.756211120000003</v>
      </c>
      <c r="L292" s="530">
        <f t="shared" si="76"/>
        <v>9.26298674000094E-4</v>
      </c>
      <c r="M292" s="531">
        <f t="shared" si="66"/>
        <v>6.4700722281729495E-6</v>
      </c>
      <c r="N292" s="532">
        <f t="shared" si="67"/>
        <v>37.756211120000003</v>
      </c>
      <c r="O292" s="533">
        <f t="shared" si="77"/>
        <v>1.1277902985028156E-3</v>
      </c>
      <c r="P292" s="533">
        <f t="shared" si="68"/>
        <v>1.0657618320851606E-4</v>
      </c>
      <c r="Q292" s="532">
        <f t="shared" si="69"/>
        <v>37.756211120000003</v>
      </c>
      <c r="R292" s="534">
        <f t="shared" si="78"/>
        <v>1.1369497063753128E-3</v>
      </c>
      <c r="S292" s="533">
        <f t="shared" si="70"/>
        <v>1.0801022210565471E-4</v>
      </c>
      <c r="T292" s="532">
        <f t="shared" si="71"/>
        <v>37.756211120000003</v>
      </c>
      <c r="U292" s="534">
        <f t="shared" si="79"/>
        <v>1.0530851776830877E-3</v>
      </c>
      <c r="V292" s="533">
        <f t="shared" si="72"/>
        <v>1.0362358148401583E-4</v>
      </c>
      <c r="W292" s="533"/>
      <c r="X292" s="535">
        <v>9.4499999999999987E-2</v>
      </c>
      <c r="Y292" s="535">
        <v>9.5000000000000001E-2</v>
      </c>
      <c r="Z292" s="535">
        <v>9.8400000000000001E-2</v>
      </c>
    </row>
    <row r="293" spans="1:26" ht="14.5">
      <c r="A293" s="509">
        <v>289</v>
      </c>
      <c r="B293" s="524" t="s">
        <v>1015</v>
      </c>
      <c r="C293" s="525" t="s">
        <v>1016</v>
      </c>
      <c r="D293" s="526">
        <v>79.48</v>
      </c>
      <c r="E293" s="527">
        <v>2.56</v>
      </c>
      <c r="F293" s="101">
        <f t="shared" si="64"/>
        <v>3.2209360845495721E-2</v>
      </c>
      <c r="G293" s="102">
        <f t="shared" si="73"/>
        <v>8.8499999999999995E-2</v>
      </c>
      <c r="H293" s="102">
        <f t="shared" si="74"/>
        <v>7.0000000000000007E-2</v>
      </c>
      <c r="I293" s="102">
        <f t="shared" si="75"/>
        <v>6.8000000000000005E-2</v>
      </c>
      <c r="J293" s="528">
        <v>498.99799999999999</v>
      </c>
      <c r="K293" s="529">
        <f t="shared" si="65"/>
        <v>39.660361040000005</v>
      </c>
      <c r="L293" s="530">
        <f t="shared" si="76"/>
        <v>9.7301447237264503E-4</v>
      </c>
      <c r="M293" s="531">
        <f t="shared" si="66"/>
        <v>3.1340174248540152E-5</v>
      </c>
      <c r="N293" s="532">
        <f t="shared" si="67"/>
        <v>39.660361040000005</v>
      </c>
      <c r="O293" s="533">
        <f t="shared" si="77"/>
        <v>1.1846678755416133E-3</v>
      </c>
      <c r="P293" s="533">
        <f t="shared" si="68"/>
        <v>1.0484310698543277E-4</v>
      </c>
      <c r="Q293" s="532">
        <f t="shared" si="69"/>
        <v>39.660361040000005</v>
      </c>
      <c r="R293" s="534">
        <f t="shared" si="78"/>
        <v>1.1942892176297086E-3</v>
      </c>
      <c r="S293" s="533">
        <f t="shared" si="70"/>
        <v>8.3600245234079611E-5</v>
      </c>
      <c r="T293" s="532">
        <f t="shared" si="71"/>
        <v>39.660361040000005</v>
      </c>
      <c r="U293" s="534">
        <f t="shared" si="79"/>
        <v>1.1061951693203641E-3</v>
      </c>
      <c r="V293" s="533">
        <f t="shared" si="72"/>
        <v>7.5221271513784766E-5</v>
      </c>
      <c r="W293" s="533"/>
      <c r="X293" s="535">
        <v>8.8499999999999995E-2</v>
      </c>
      <c r="Y293" s="535">
        <v>7.0000000000000007E-2</v>
      </c>
      <c r="Z293" s="535">
        <v>6.8000000000000005E-2</v>
      </c>
    </row>
    <row r="294" spans="1:26" ht="14.5">
      <c r="A294" s="509">
        <v>290</v>
      </c>
      <c r="B294" s="524" t="s">
        <v>1017</v>
      </c>
      <c r="C294" s="525" t="s">
        <v>428</v>
      </c>
      <c r="D294" s="526">
        <v>131.43</v>
      </c>
      <c r="E294" s="527">
        <v>5.42</v>
      </c>
      <c r="F294" s="101">
        <f t="shared" si="64"/>
        <v>4.1238682188237084E-2</v>
      </c>
      <c r="G294" s="102">
        <f t="shared" si="73"/>
        <v>3.6200000000000003E-2</v>
      </c>
      <c r="H294" s="102">
        <f t="shared" si="74"/>
        <v>0.06</v>
      </c>
      <c r="I294" s="102">
        <f t="shared" si="75"/>
        <v>4.4199999999999996E-2</v>
      </c>
      <c r="J294" s="528">
        <v>1371.08</v>
      </c>
      <c r="K294" s="529">
        <f t="shared" si="65"/>
        <v>180.2010444</v>
      </c>
      <c r="L294" s="530">
        <f t="shared" si="76"/>
        <v>4.4209941498269721E-3</v>
      </c>
      <c r="M294" s="531">
        <f t="shared" si="66"/>
        <v>1.823159727007699E-4</v>
      </c>
      <c r="N294" s="532">
        <f t="shared" si="67"/>
        <v>180.2010444</v>
      </c>
      <c r="O294" s="533">
        <f t="shared" si="77"/>
        <v>5.3826637691074316E-3</v>
      </c>
      <c r="P294" s="533">
        <f t="shared" si="68"/>
        <v>1.9485242844168905E-4</v>
      </c>
      <c r="Q294" s="532">
        <f t="shared" si="69"/>
        <v>180.2010444</v>
      </c>
      <c r="R294" s="534">
        <f t="shared" si="78"/>
        <v>5.4263793543250192E-3</v>
      </c>
      <c r="S294" s="533">
        <f t="shared" si="70"/>
        <v>3.2558276125950112E-4</v>
      </c>
      <c r="T294" s="532">
        <f t="shared" si="71"/>
        <v>180.2010444</v>
      </c>
      <c r="U294" s="534">
        <f t="shared" si="79"/>
        <v>5.026114730037879E-3</v>
      </c>
      <c r="V294" s="533">
        <f t="shared" si="72"/>
        <v>2.2215427106767424E-4</v>
      </c>
      <c r="W294" s="533"/>
      <c r="X294" s="535">
        <v>3.6200000000000003E-2</v>
      </c>
      <c r="Y294" s="535">
        <v>0.06</v>
      </c>
      <c r="Z294" s="535">
        <v>4.4199999999999996E-2</v>
      </c>
    </row>
    <row r="295" spans="1:26" ht="14.5">
      <c r="A295" s="509">
        <v>291</v>
      </c>
      <c r="B295" s="524" t="s">
        <v>1018</v>
      </c>
      <c r="C295" s="525" t="s">
        <v>1019</v>
      </c>
      <c r="D295" s="526">
        <v>22.97</v>
      </c>
      <c r="E295" s="527">
        <v>1.72</v>
      </c>
      <c r="F295" s="101">
        <f t="shared" si="64"/>
        <v>7.4880278624292557E-2</v>
      </c>
      <c r="G295" s="102" t="str">
        <f t="shared" si="73"/>
        <v>NMF</v>
      </c>
      <c r="H295" s="102">
        <f t="shared" si="74"/>
        <v>0.02</v>
      </c>
      <c r="I295" s="102">
        <f t="shared" si="75"/>
        <v>0.09</v>
      </c>
      <c r="J295" s="528">
        <v>5685.366</v>
      </c>
      <c r="K295" s="529">
        <f t="shared" si="65"/>
        <v>130.59285702</v>
      </c>
      <c r="L295" s="530">
        <f t="shared" si="76"/>
        <v>3.2039229229606516E-3</v>
      </c>
      <c r="M295" s="531">
        <f t="shared" si="66"/>
        <v>2.399106411620514E-4</v>
      </c>
      <c r="N295" s="532" t="str">
        <f t="shared" si="67"/>
        <v>--</v>
      </c>
      <c r="O295" s="533" t="str">
        <f t="shared" si="77"/>
        <v>--</v>
      </c>
      <c r="P295" s="533" t="str">
        <f t="shared" si="68"/>
        <v>--</v>
      </c>
      <c r="Q295" s="532">
        <f t="shared" si="69"/>
        <v>130.59285702</v>
      </c>
      <c r="R295" s="534">
        <f t="shared" si="78"/>
        <v>3.9325320533805247E-3</v>
      </c>
      <c r="S295" s="533">
        <f t="shared" si="70"/>
        <v>7.8650641067610496E-5</v>
      </c>
      <c r="T295" s="532">
        <f t="shared" si="71"/>
        <v>130.59285702</v>
      </c>
      <c r="U295" s="534">
        <f t="shared" si="79"/>
        <v>3.6424577032360011E-3</v>
      </c>
      <c r="V295" s="533">
        <f t="shared" si="72"/>
        <v>3.2782119329124006E-4</v>
      </c>
      <c r="W295" s="533"/>
      <c r="X295" s="535">
        <v>-2E-3</v>
      </c>
      <c r="Y295" s="535">
        <v>0.02</v>
      </c>
      <c r="Z295" s="535">
        <v>0.09</v>
      </c>
    </row>
    <row r="296" spans="1:26" ht="14.5">
      <c r="A296" s="509">
        <v>292</v>
      </c>
      <c r="B296" s="524" t="s">
        <v>1020</v>
      </c>
      <c r="C296" s="525" t="s">
        <v>1021</v>
      </c>
      <c r="D296" s="526">
        <v>78.84</v>
      </c>
      <c r="E296" s="527">
        <v>3</v>
      </c>
      <c r="F296" s="101">
        <f t="shared" si="64"/>
        <v>3.8051750380517502E-2</v>
      </c>
      <c r="G296" s="102">
        <f t="shared" si="73"/>
        <v>0.12</v>
      </c>
      <c r="H296" s="102">
        <f t="shared" si="74"/>
        <v>5.5E-2</v>
      </c>
      <c r="I296" s="102">
        <f t="shared" si="75"/>
        <v>0.11779999999999999</v>
      </c>
      <c r="J296" s="528">
        <v>224.191</v>
      </c>
      <c r="K296" s="529">
        <f t="shared" si="65"/>
        <v>17.675218440000002</v>
      </c>
      <c r="L296" s="530">
        <f t="shared" si="76"/>
        <v>4.3363809338806375E-4</v>
      </c>
      <c r="M296" s="531">
        <f t="shared" si="66"/>
        <v>1.650068848508614E-5</v>
      </c>
      <c r="N296" s="532">
        <f t="shared" si="67"/>
        <v>17.675218440000002</v>
      </c>
      <c r="O296" s="533">
        <f t="shared" si="77"/>
        <v>5.2796451998836239E-4</v>
      </c>
      <c r="P296" s="533">
        <f t="shared" si="68"/>
        <v>6.3355742398603482E-5</v>
      </c>
      <c r="Q296" s="532">
        <f t="shared" si="69"/>
        <v>17.675218440000002</v>
      </c>
      <c r="R296" s="534">
        <f t="shared" si="78"/>
        <v>5.3225241144052367E-4</v>
      </c>
      <c r="S296" s="533">
        <f t="shared" si="70"/>
        <v>2.9273882629228801E-5</v>
      </c>
      <c r="T296" s="532">
        <f t="shared" si="71"/>
        <v>17.675218440000002</v>
      </c>
      <c r="U296" s="534">
        <f t="shared" si="79"/>
        <v>4.9299201374618197E-4</v>
      </c>
      <c r="V296" s="533">
        <f t="shared" si="72"/>
        <v>5.8074459219300227E-5</v>
      </c>
      <c r="W296" s="533"/>
      <c r="X296" s="535">
        <v>0.12</v>
      </c>
      <c r="Y296" s="535">
        <v>5.5E-2</v>
      </c>
      <c r="Z296" s="535">
        <v>0.11779999999999999</v>
      </c>
    </row>
    <row r="297" spans="1:26" ht="14.5">
      <c r="A297" s="509">
        <v>293</v>
      </c>
      <c r="B297" s="524" t="s">
        <v>1022</v>
      </c>
      <c r="C297" s="525" t="s">
        <v>430</v>
      </c>
      <c r="D297" s="526">
        <v>158.65</v>
      </c>
      <c r="E297" s="527">
        <v>4.2300000000000004</v>
      </c>
      <c r="F297" s="101">
        <f t="shared" si="64"/>
        <v>2.6662464544595022E-2</v>
      </c>
      <c r="G297" s="102">
        <f t="shared" si="73"/>
        <v>4.2599999999999999E-2</v>
      </c>
      <c r="H297" s="102">
        <f t="shared" si="74"/>
        <v>4.4999999999999998E-2</v>
      </c>
      <c r="I297" s="102">
        <f t="shared" si="75"/>
        <v>4.9599999999999998E-2</v>
      </c>
      <c r="J297" s="528">
        <v>2344.5419999999999</v>
      </c>
      <c r="K297" s="529">
        <f t="shared" si="65"/>
        <v>371.96158830000002</v>
      </c>
      <c r="L297" s="530">
        <f t="shared" si="76"/>
        <v>9.125585322271576E-3</v>
      </c>
      <c r="M297" s="531">
        <f t="shared" si="66"/>
        <v>2.4331059510374262E-4</v>
      </c>
      <c r="N297" s="532">
        <f t="shared" si="67"/>
        <v>371.96158830000002</v>
      </c>
      <c r="O297" s="533">
        <f t="shared" si="77"/>
        <v>1.1110613545600875E-2</v>
      </c>
      <c r="P297" s="533">
        <f t="shared" si="68"/>
        <v>4.7331213704259725E-4</v>
      </c>
      <c r="Q297" s="532">
        <f t="shared" si="69"/>
        <v>371.96158830000002</v>
      </c>
      <c r="R297" s="534">
        <f t="shared" si="78"/>
        <v>1.1200848974397302E-2</v>
      </c>
      <c r="S297" s="533">
        <f t="shared" si="70"/>
        <v>5.0403820384787852E-4</v>
      </c>
      <c r="T297" s="532">
        <f t="shared" si="71"/>
        <v>371.96158830000002</v>
      </c>
      <c r="U297" s="534">
        <f t="shared" si="79"/>
        <v>1.0374643633102691E-2</v>
      </c>
      <c r="V297" s="533">
        <f t="shared" si="72"/>
        <v>5.1458232420189349E-4</v>
      </c>
      <c r="W297" s="533"/>
      <c r="X297" s="535">
        <v>4.2599999999999999E-2</v>
      </c>
      <c r="Y297" s="535">
        <v>4.4999999999999998E-2</v>
      </c>
      <c r="Z297" s="535">
        <v>4.9599999999999998E-2</v>
      </c>
    </row>
    <row r="298" spans="1:26" ht="14.5">
      <c r="A298" s="509">
        <v>294</v>
      </c>
      <c r="B298" s="524" t="s">
        <v>1023</v>
      </c>
      <c r="C298" s="525" t="s">
        <v>433</v>
      </c>
      <c r="D298" s="526">
        <v>283.92</v>
      </c>
      <c r="E298" s="527">
        <v>0.4</v>
      </c>
      <c r="F298" s="101">
        <f t="shared" si="64"/>
        <v>1.4088475626937165E-3</v>
      </c>
      <c r="G298" s="102" t="str">
        <f t="shared" si="73"/>
        <v>NMF</v>
      </c>
      <c r="H298" s="102" t="str">
        <f t="shared" si="74"/>
        <v>NMF</v>
      </c>
      <c r="I298" s="102">
        <f t="shared" si="75"/>
        <v>9.9399999999999988E-2</v>
      </c>
      <c r="J298" s="528">
        <v>586.22400000000005</v>
      </c>
      <c r="K298" s="529">
        <f t="shared" si="65"/>
        <v>166.44071808000001</v>
      </c>
      <c r="L298" s="530">
        <f t="shared" si="76"/>
        <v>4.083402753711678E-3</v>
      </c>
      <c r="M298" s="531">
        <f t="shared" si="66"/>
        <v>5.7528920170635077E-6</v>
      </c>
      <c r="N298" s="532" t="str">
        <f t="shared" si="67"/>
        <v>--</v>
      </c>
      <c r="O298" s="533" t="str">
        <f t="shared" si="77"/>
        <v>--</v>
      </c>
      <c r="P298" s="533" t="str">
        <f t="shared" si="68"/>
        <v>--</v>
      </c>
      <c r="Q298" s="532" t="str">
        <f t="shared" si="69"/>
        <v>--</v>
      </c>
      <c r="R298" s="534" t="str">
        <f t="shared" si="78"/>
        <v>--</v>
      </c>
      <c r="S298" s="533" t="str">
        <f t="shared" si="70"/>
        <v>--</v>
      </c>
      <c r="T298" s="532">
        <f t="shared" si="71"/>
        <v>166.44071808000001</v>
      </c>
      <c r="U298" s="534">
        <f t="shared" si="79"/>
        <v>4.642315740207608E-3</v>
      </c>
      <c r="V298" s="533">
        <f t="shared" si="72"/>
        <v>4.6144618457663616E-4</v>
      </c>
      <c r="W298" s="533"/>
      <c r="X298" s="535">
        <v>0.32100000000000001</v>
      </c>
      <c r="Y298" s="535">
        <v>0.23499999999999999</v>
      </c>
      <c r="Z298" s="535">
        <v>9.9399999999999988E-2</v>
      </c>
    </row>
    <row r="299" spans="1:26" ht="14.5">
      <c r="A299" s="509">
        <v>295</v>
      </c>
      <c r="B299" s="524" t="s">
        <v>1024</v>
      </c>
      <c r="C299" s="525" t="s">
        <v>1025</v>
      </c>
      <c r="D299" s="526">
        <v>641.5</v>
      </c>
      <c r="E299" s="527">
        <v>6.7</v>
      </c>
      <c r="F299" s="101">
        <f t="shared" si="64"/>
        <v>1.0444271239282932E-2</v>
      </c>
      <c r="G299" s="102">
        <f t="shared" si="73"/>
        <v>6.8499999999999991E-2</v>
      </c>
      <c r="H299" s="102">
        <f t="shared" si="74"/>
        <v>9.5000000000000001E-2</v>
      </c>
      <c r="I299" s="102">
        <f t="shared" si="75"/>
        <v>8.9700000000000002E-2</v>
      </c>
      <c r="J299" s="528">
        <v>127.77800000000001</v>
      </c>
      <c r="K299" s="529">
        <f t="shared" si="65"/>
        <v>81.969587000000004</v>
      </c>
      <c r="L299" s="530">
        <f t="shared" si="76"/>
        <v>2.0110153401016193E-3</v>
      </c>
      <c r="M299" s="531">
        <f t="shared" si="66"/>
        <v>2.1003589678380126E-5</v>
      </c>
      <c r="N299" s="532">
        <f t="shared" si="67"/>
        <v>81.969587000000004</v>
      </c>
      <c r="O299" s="533">
        <f t="shared" si="77"/>
        <v>2.44845820723556E-3</v>
      </c>
      <c r="P299" s="533">
        <f t="shared" si="68"/>
        <v>1.6771938719563584E-4</v>
      </c>
      <c r="Q299" s="532">
        <f t="shared" si="69"/>
        <v>81.969587000000004</v>
      </c>
      <c r="R299" s="534">
        <f t="shared" si="78"/>
        <v>2.4683434885760767E-3</v>
      </c>
      <c r="S299" s="533">
        <f t="shared" si="70"/>
        <v>2.344926314147273E-4</v>
      </c>
      <c r="T299" s="532">
        <f t="shared" si="71"/>
        <v>81.969587000000004</v>
      </c>
      <c r="U299" s="534">
        <f t="shared" si="79"/>
        <v>2.2862717028504717E-3</v>
      </c>
      <c r="V299" s="533">
        <f t="shared" si="72"/>
        <v>2.0507857174568731E-4</v>
      </c>
      <c r="W299" s="533"/>
      <c r="X299" s="535">
        <v>6.8499999999999991E-2</v>
      </c>
      <c r="Y299" s="535">
        <v>9.5000000000000001E-2</v>
      </c>
      <c r="Z299" s="535">
        <v>8.9700000000000002E-2</v>
      </c>
    </row>
    <row r="300" spans="1:26" ht="14.5">
      <c r="A300" s="509">
        <v>296</v>
      </c>
      <c r="B300" s="524" t="s">
        <v>1026</v>
      </c>
      <c r="C300" s="525" t="s">
        <v>1027</v>
      </c>
      <c r="D300" s="526">
        <v>103.36</v>
      </c>
      <c r="E300" s="527">
        <v>0.9</v>
      </c>
      <c r="F300" s="101">
        <f t="shared" si="64"/>
        <v>8.7074303405572755E-3</v>
      </c>
      <c r="G300" s="102" t="str">
        <f t="shared" si="73"/>
        <v>NMF</v>
      </c>
      <c r="H300" s="102">
        <f t="shared" si="74"/>
        <v>5.5E-2</v>
      </c>
      <c r="I300" s="102" t="str">
        <f t="shared" si="75"/>
        <v>NMF</v>
      </c>
      <c r="J300" s="528">
        <v>200.42699999999999</v>
      </c>
      <c r="K300" s="529">
        <f t="shared" si="65"/>
        <v>20.716134719999999</v>
      </c>
      <c r="L300" s="530">
        <f t="shared" si="76"/>
        <v>5.0824295002891459E-4</v>
      </c>
      <c r="M300" s="531">
        <f t="shared" si="66"/>
        <v>4.425490083456106E-6</v>
      </c>
      <c r="N300" s="532" t="str">
        <f t="shared" si="67"/>
        <v>--</v>
      </c>
      <c r="O300" s="533" t="str">
        <f t="shared" si="77"/>
        <v>--</v>
      </c>
      <c r="P300" s="533" t="str">
        <f t="shared" si="68"/>
        <v>--</v>
      </c>
      <c r="Q300" s="532">
        <f t="shared" si="69"/>
        <v>20.716134719999999</v>
      </c>
      <c r="R300" s="534">
        <f t="shared" si="78"/>
        <v>6.2382327538842888E-4</v>
      </c>
      <c r="S300" s="533">
        <f t="shared" si="70"/>
        <v>3.4310280146363588E-5</v>
      </c>
      <c r="T300" s="532" t="str">
        <f t="shared" si="71"/>
        <v>--</v>
      </c>
      <c r="U300" s="534" t="str">
        <f t="shared" si="79"/>
        <v>--</v>
      </c>
      <c r="V300" s="533" t="str">
        <f t="shared" si="72"/>
        <v>--</v>
      </c>
      <c r="W300" s="533"/>
      <c r="X300" s="535">
        <v>-0.01</v>
      </c>
      <c r="Y300" s="535">
        <v>5.5E-2</v>
      </c>
      <c r="Z300" s="535">
        <v>0.3</v>
      </c>
    </row>
    <row r="301" spans="1:26" ht="14.5">
      <c r="A301" s="509">
        <v>297</v>
      </c>
      <c r="B301" s="524" t="s">
        <v>1028</v>
      </c>
      <c r="C301" s="525" t="s">
        <v>1029</v>
      </c>
      <c r="D301" s="526">
        <v>183.42</v>
      </c>
      <c r="E301" s="527">
        <v>5</v>
      </c>
      <c r="F301" s="101">
        <f t="shared" si="64"/>
        <v>2.7259840802529717E-2</v>
      </c>
      <c r="G301" s="102" t="str">
        <f t="shared" si="73"/>
        <v>NMF</v>
      </c>
      <c r="H301" s="102">
        <f t="shared" si="74"/>
        <v>0.09</v>
      </c>
      <c r="I301" s="102">
        <f t="shared" si="75"/>
        <v>6.6799999999999998E-2</v>
      </c>
      <c r="J301" s="528">
        <v>89.927999999999997</v>
      </c>
      <c r="K301" s="529">
        <f t="shared" si="65"/>
        <v>16.494593760000001</v>
      </c>
      <c r="L301" s="530">
        <f t="shared" si="76"/>
        <v>4.0467302927980409E-4</v>
      </c>
      <c r="M301" s="531">
        <f t="shared" si="66"/>
        <v>1.1031322355244906E-5</v>
      </c>
      <c r="N301" s="532" t="str">
        <f t="shared" si="67"/>
        <v>--</v>
      </c>
      <c r="O301" s="533" t="str">
        <f t="shared" si="77"/>
        <v>--</v>
      </c>
      <c r="P301" s="533" t="str">
        <f t="shared" si="68"/>
        <v>--</v>
      </c>
      <c r="Q301" s="532">
        <f t="shared" si="69"/>
        <v>16.494593760000001</v>
      </c>
      <c r="R301" s="534">
        <f t="shared" si="78"/>
        <v>4.9670035673357225E-4</v>
      </c>
      <c r="S301" s="533">
        <f t="shared" si="70"/>
        <v>4.4703032106021497E-5</v>
      </c>
      <c r="T301" s="532">
        <f t="shared" si="71"/>
        <v>16.494593760000001</v>
      </c>
      <c r="U301" s="534">
        <f t="shared" si="79"/>
        <v>4.6006237610422466E-4</v>
      </c>
      <c r="V301" s="533">
        <f t="shared" si="72"/>
        <v>3.0732166723762207E-5</v>
      </c>
      <c r="W301" s="533"/>
      <c r="X301" s="535" t="s">
        <v>36</v>
      </c>
      <c r="Y301" s="535">
        <v>0.09</v>
      </c>
      <c r="Z301" s="535">
        <v>6.6799999999999998E-2</v>
      </c>
    </row>
    <row r="302" spans="1:26" ht="14.5">
      <c r="A302" s="509">
        <v>298</v>
      </c>
      <c r="B302" s="524" t="s">
        <v>1030</v>
      </c>
      <c r="C302" s="525" t="s">
        <v>1031</v>
      </c>
      <c r="D302" s="526">
        <v>105.49</v>
      </c>
      <c r="E302" s="527">
        <v>4.0999999999999996</v>
      </c>
      <c r="F302" s="101">
        <f t="shared" si="64"/>
        <v>3.8866243245805288E-2</v>
      </c>
      <c r="G302" s="102" t="str">
        <f t="shared" si="73"/>
        <v>NMF</v>
      </c>
      <c r="H302" s="102">
        <f t="shared" si="74"/>
        <v>2.5000000000000001E-2</v>
      </c>
      <c r="I302" s="102">
        <f t="shared" si="75"/>
        <v>6.9099999999999995E-2</v>
      </c>
      <c r="J302" s="528">
        <v>927.92600000000004</v>
      </c>
      <c r="K302" s="529">
        <f t="shared" si="65"/>
        <v>97.886913739999997</v>
      </c>
      <c r="L302" s="530">
        <f t="shared" si="76"/>
        <v>2.4015258869895728E-3</v>
      </c>
      <c r="M302" s="531">
        <f t="shared" si="66"/>
        <v>9.3338289284835039E-5</v>
      </c>
      <c r="N302" s="532" t="str">
        <f t="shared" si="67"/>
        <v>--</v>
      </c>
      <c r="O302" s="533" t="str">
        <f t="shared" si="77"/>
        <v>--</v>
      </c>
      <c r="P302" s="533" t="str">
        <f t="shared" si="68"/>
        <v>--</v>
      </c>
      <c r="Q302" s="532">
        <f t="shared" si="69"/>
        <v>97.886913739999997</v>
      </c>
      <c r="R302" s="534">
        <f t="shared" si="78"/>
        <v>2.9476606506134658E-3</v>
      </c>
      <c r="S302" s="533">
        <f t="shared" si="70"/>
        <v>7.3691516265336657E-5</v>
      </c>
      <c r="T302" s="532">
        <f t="shared" si="71"/>
        <v>97.886913739999997</v>
      </c>
      <c r="U302" s="534">
        <f t="shared" si="79"/>
        <v>2.7302331163767731E-3</v>
      </c>
      <c r="V302" s="533">
        <f t="shared" si="72"/>
        <v>1.8865910834163502E-4</v>
      </c>
      <c r="W302" s="533"/>
      <c r="X302" s="535" t="s">
        <v>36</v>
      </c>
      <c r="Y302" s="535">
        <v>2.5000000000000001E-2</v>
      </c>
      <c r="Z302" s="535">
        <v>6.9099999999999995E-2</v>
      </c>
    </row>
    <row r="303" spans="1:26" ht="14.5">
      <c r="A303" s="509">
        <v>299</v>
      </c>
      <c r="B303" s="524" t="s">
        <v>1032</v>
      </c>
      <c r="C303" s="525" t="s">
        <v>1033</v>
      </c>
      <c r="D303" s="526">
        <v>172</v>
      </c>
      <c r="E303" s="527">
        <v>5.48</v>
      </c>
      <c r="F303" s="101">
        <f t="shared" si="64"/>
        <v>3.1860465116279074E-2</v>
      </c>
      <c r="G303" s="102">
        <f t="shared" si="73"/>
        <v>0.11109999999999999</v>
      </c>
      <c r="H303" s="102">
        <f t="shared" si="74"/>
        <v>6.5000000000000002E-2</v>
      </c>
      <c r="I303" s="102">
        <f t="shared" si="75"/>
        <v>9.2499999999999999E-2</v>
      </c>
      <c r="J303" s="528">
        <v>1556.5170000000001</v>
      </c>
      <c r="K303" s="529">
        <f t="shared" si="65"/>
        <v>267.72092400000002</v>
      </c>
      <c r="L303" s="530">
        <f t="shared" si="76"/>
        <v>6.5681785737212485E-3</v>
      </c>
      <c r="M303" s="531">
        <f t="shared" si="66"/>
        <v>2.0926522432553748E-4</v>
      </c>
      <c r="N303" s="532">
        <f t="shared" si="67"/>
        <v>267.72092400000002</v>
      </c>
      <c r="O303" s="533">
        <f t="shared" si="77"/>
        <v>7.9969110203823232E-3</v>
      </c>
      <c r="P303" s="533">
        <f t="shared" si="68"/>
        <v>8.8845681436447606E-4</v>
      </c>
      <c r="Q303" s="532">
        <f t="shared" si="69"/>
        <v>267.72092400000002</v>
      </c>
      <c r="R303" s="534">
        <f t="shared" si="78"/>
        <v>8.0618583513293873E-3</v>
      </c>
      <c r="S303" s="533">
        <f t="shared" si="70"/>
        <v>5.2402079283641017E-4</v>
      </c>
      <c r="T303" s="532">
        <f t="shared" si="71"/>
        <v>267.72092400000002</v>
      </c>
      <c r="U303" s="534">
        <f t="shared" si="79"/>
        <v>7.4671935678068228E-3</v>
      </c>
      <c r="V303" s="533">
        <f t="shared" si="72"/>
        <v>6.9071540502213113E-4</v>
      </c>
      <c r="W303" s="533"/>
      <c r="X303" s="535">
        <v>0.11109999999999999</v>
      </c>
      <c r="Y303" s="535">
        <v>6.5000000000000002E-2</v>
      </c>
      <c r="Z303" s="535">
        <v>9.2499999999999999E-2</v>
      </c>
    </row>
    <row r="304" spans="1:26" ht="14.5">
      <c r="A304" s="509">
        <v>300</v>
      </c>
      <c r="B304" s="524" t="s">
        <v>1034</v>
      </c>
      <c r="C304" s="525" t="s">
        <v>1035</v>
      </c>
      <c r="D304" s="526">
        <v>166.73</v>
      </c>
      <c r="E304" s="527">
        <v>6.94</v>
      </c>
      <c r="F304" s="101">
        <f t="shared" si="64"/>
        <v>4.1624182810532005E-2</v>
      </c>
      <c r="G304" s="102">
        <f t="shared" si="73"/>
        <v>9.11E-2</v>
      </c>
      <c r="H304" s="102">
        <f t="shared" si="74"/>
        <v>7.0000000000000007E-2</v>
      </c>
      <c r="I304" s="102">
        <f t="shared" si="75"/>
        <v>7.8700000000000006E-2</v>
      </c>
      <c r="J304" s="528">
        <v>395.56700000000001</v>
      </c>
      <c r="K304" s="529">
        <f t="shared" si="65"/>
        <v>65.952885909999992</v>
      </c>
      <c r="L304" s="530">
        <f t="shared" si="76"/>
        <v>1.6180667750464808E-3</v>
      </c>
      <c r="M304" s="531">
        <f t="shared" si="66"/>
        <v>6.735070724418269E-5</v>
      </c>
      <c r="N304" s="532">
        <f t="shared" si="67"/>
        <v>65.952885909999992</v>
      </c>
      <c r="O304" s="533">
        <f t="shared" si="77"/>
        <v>1.9700341395792317E-3</v>
      </c>
      <c r="P304" s="533">
        <f t="shared" si="68"/>
        <v>1.7947011011566801E-4</v>
      </c>
      <c r="Q304" s="532">
        <f t="shared" si="69"/>
        <v>65.952885909999992</v>
      </c>
      <c r="R304" s="534">
        <f t="shared" si="78"/>
        <v>1.9860338748412792E-3</v>
      </c>
      <c r="S304" s="533">
        <f t="shared" si="70"/>
        <v>1.3902237123888955E-4</v>
      </c>
      <c r="T304" s="532">
        <f t="shared" si="71"/>
        <v>65.952885909999992</v>
      </c>
      <c r="U304" s="534">
        <f t="shared" si="79"/>
        <v>1.83953856907146E-3</v>
      </c>
      <c r="V304" s="533">
        <f t="shared" si="72"/>
        <v>1.4477168538592391E-4</v>
      </c>
      <c r="W304" s="533"/>
      <c r="X304" s="535">
        <v>9.11E-2</v>
      </c>
      <c r="Y304" s="535">
        <v>7.0000000000000007E-2</v>
      </c>
      <c r="Z304" s="535">
        <v>7.8700000000000006E-2</v>
      </c>
    </row>
    <row r="305" spans="1:26" ht="14.5">
      <c r="A305" s="509">
        <v>301</v>
      </c>
      <c r="B305" s="524" t="s">
        <v>1036</v>
      </c>
      <c r="C305" s="525" t="s">
        <v>1037</v>
      </c>
      <c r="D305" s="526">
        <v>93.53</v>
      </c>
      <c r="E305" s="527">
        <v>1</v>
      </c>
      <c r="F305" s="101">
        <f t="shared" si="64"/>
        <v>1.0691756655618518E-2</v>
      </c>
      <c r="G305" s="102">
        <f t="shared" si="73"/>
        <v>0.10385</v>
      </c>
      <c r="H305" s="102">
        <f t="shared" si="74"/>
        <v>0.12</v>
      </c>
      <c r="I305" s="102">
        <f t="shared" si="75"/>
        <v>0.11</v>
      </c>
      <c r="J305" s="528">
        <v>164.52699999999999</v>
      </c>
      <c r="K305" s="529">
        <f t="shared" si="65"/>
        <v>15.388210309999998</v>
      </c>
      <c r="L305" s="530">
        <f t="shared" si="76"/>
        <v>3.7752937550020703E-4</v>
      </c>
      <c r="M305" s="531">
        <f t="shared" si="66"/>
        <v>4.0364522131958412E-6</v>
      </c>
      <c r="N305" s="532">
        <f t="shared" si="67"/>
        <v>15.388210309999998</v>
      </c>
      <c r="O305" s="533">
        <f t="shared" si="77"/>
        <v>4.5965084377192666E-4</v>
      </c>
      <c r="P305" s="533">
        <f t="shared" si="68"/>
        <v>4.7734740125714582E-5</v>
      </c>
      <c r="Q305" s="532">
        <f t="shared" si="69"/>
        <v>15.388210309999998</v>
      </c>
      <c r="R305" s="534">
        <f t="shared" si="78"/>
        <v>4.6338392213111609E-4</v>
      </c>
      <c r="S305" s="533">
        <f t="shared" si="70"/>
        <v>5.5606070655733931E-5</v>
      </c>
      <c r="T305" s="532">
        <f t="shared" si="71"/>
        <v>15.388210309999998</v>
      </c>
      <c r="U305" s="534">
        <f t="shared" si="79"/>
        <v>4.2920345309614504E-4</v>
      </c>
      <c r="V305" s="533">
        <f t="shared" si="72"/>
        <v>4.7212379840575952E-5</v>
      </c>
      <c r="W305" s="533"/>
      <c r="X305" s="535">
        <v>0.10385</v>
      </c>
      <c r="Y305" s="535">
        <v>0.12</v>
      </c>
      <c r="Z305" s="535">
        <v>0.11</v>
      </c>
    </row>
    <row r="306" spans="1:26" ht="14.5">
      <c r="A306" s="509">
        <v>302</v>
      </c>
      <c r="B306" s="524" t="s">
        <v>1038</v>
      </c>
      <c r="C306" s="525" t="s">
        <v>1039</v>
      </c>
      <c r="D306" s="526">
        <v>92.01</v>
      </c>
      <c r="E306" s="527">
        <v>3.61</v>
      </c>
      <c r="F306" s="101">
        <f t="shared" si="64"/>
        <v>3.9234865775459184E-2</v>
      </c>
      <c r="G306" s="102">
        <f t="shared" si="73"/>
        <v>2.2000000000000002E-2</v>
      </c>
      <c r="H306" s="102">
        <f t="shared" si="74"/>
        <v>0.05</v>
      </c>
      <c r="I306" s="102">
        <f t="shared" si="75"/>
        <v>2.12E-2</v>
      </c>
      <c r="J306" s="528">
        <v>119.399</v>
      </c>
      <c r="K306" s="529">
        <f t="shared" si="65"/>
        <v>10.98590199</v>
      </c>
      <c r="L306" s="530">
        <f t="shared" si="76"/>
        <v>2.6952456679747461E-4</v>
      </c>
      <c r="M306" s="531">
        <f t="shared" si="66"/>
        <v>1.0574760201487699E-5</v>
      </c>
      <c r="N306" s="532">
        <f t="shared" si="67"/>
        <v>10.98590199</v>
      </c>
      <c r="O306" s="533">
        <f t="shared" si="77"/>
        <v>3.2815246331912066E-4</v>
      </c>
      <c r="P306" s="533">
        <f t="shared" si="68"/>
        <v>7.2193541930206549E-6</v>
      </c>
      <c r="Q306" s="532">
        <f t="shared" si="69"/>
        <v>10.98590199</v>
      </c>
      <c r="R306" s="534">
        <f t="shared" si="78"/>
        <v>3.3081757070645558E-4</v>
      </c>
      <c r="S306" s="533">
        <f t="shared" si="70"/>
        <v>1.6540878535322779E-5</v>
      </c>
      <c r="T306" s="532">
        <f t="shared" si="71"/>
        <v>10.98590199</v>
      </c>
      <c r="U306" s="534">
        <f t="shared" si="79"/>
        <v>3.0641555934673293E-4</v>
      </c>
      <c r="V306" s="533">
        <f t="shared" si="72"/>
        <v>6.4960098581507381E-6</v>
      </c>
      <c r="W306" s="533"/>
      <c r="X306" s="535">
        <v>2.2000000000000002E-2</v>
      </c>
      <c r="Y306" s="535">
        <v>0.05</v>
      </c>
      <c r="Z306" s="535">
        <v>2.12E-2</v>
      </c>
    </row>
    <row r="307" spans="1:26" ht="14.5">
      <c r="A307" s="509">
        <v>303</v>
      </c>
      <c r="B307" s="524" t="s">
        <v>1040</v>
      </c>
      <c r="C307" s="525" t="s">
        <v>1041</v>
      </c>
      <c r="D307" s="526">
        <v>301.64</v>
      </c>
      <c r="E307" s="527">
        <v>5.0999999999999996</v>
      </c>
      <c r="F307" s="101">
        <f t="shared" si="64"/>
        <v>1.6907571940061001E-2</v>
      </c>
      <c r="G307" s="102">
        <f t="shared" si="73"/>
        <v>6.4000000000000001E-2</v>
      </c>
      <c r="H307" s="102">
        <f t="shared" si="74"/>
        <v>2.5000000000000001E-2</v>
      </c>
      <c r="I307" s="102">
        <f t="shared" si="75"/>
        <v>7.0999999999999994E-2</v>
      </c>
      <c r="J307" s="528">
        <v>37.594999999999999</v>
      </c>
      <c r="K307" s="529">
        <f t="shared" si="65"/>
        <v>11.340155799999998</v>
      </c>
      <c r="L307" s="530">
        <f t="shared" si="76"/>
        <v>2.7821571521328205E-4</v>
      </c>
      <c r="M307" s="531">
        <f t="shared" si="66"/>
        <v>4.70395221982409E-6</v>
      </c>
      <c r="N307" s="532">
        <f t="shared" si="67"/>
        <v>11.340155799999998</v>
      </c>
      <c r="O307" s="533">
        <f t="shared" si="77"/>
        <v>3.3873413977113156E-4</v>
      </c>
      <c r="P307" s="533">
        <f t="shared" si="68"/>
        <v>2.1678984945352422E-5</v>
      </c>
      <c r="Q307" s="532">
        <f t="shared" si="69"/>
        <v>11.340155799999998</v>
      </c>
      <c r="R307" s="534">
        <f t="shared" si="78"/>
        <v>3.4148518679700342E-4</v>
      </c>
      <c r="S307" s="533">
        <f t="shared" si="70"/>
        <v>8.5371296699250861E-6</v>
      </c>
      <c r="T307" s="532">
        <f t="shared" si="71"/>
        <v>11.340155799999998</v>
      </c>
      <c r="U307" s="534">
        <f t="shared" si="79"/>
        <v>3.1629630281601454E-4</v>
      </c>
      <c r="V307" s="533">
        <f t="shared" si="72"/>
        <v>2.2457037499937029E-5</v>
      </c>
      <c r="W307" s="533"/>
      <c r="X307" s="535">
        <v>6.4000000000000001E-2</v>
      </c>
      <c r="Y307" s="535">
        <v>2.5000000000000001E-2</v>
      </c>
      <c r="Z307" s="535">
        <v>7.0999999999999994E-2</v>
      </c>
    </row>
    <row r="308" spans="1:26" ht="14.5">
      <c r="A308" s="509">
        <v>304</v>
      </c>
      <c r="B308" s="524" t="s">
        <v>1042</v>
      </c>
      <c r="C308" s="525" t="s">
        <v>1043</v>
      </c>
      <c r="D308" s="526">
        <v>108.61</v>
      </c>
      <c r="E308" s="527">
        <v>2.72</v>
      </c>
      <c r="F308" s="101">
        <f t="shared" si="64"/>
        <v>2.5043734462756654E-2</v>
      </c>
      <c r="G308" s="102">
        <f t="shared" si="73"/>
        <v>5.3630000000000004E-2</v>
      </c>
      <c r="H308" s="102">
        <f t="shared" si="74"/>
        <v>0.05</v>
      </c>
      <c r="I308" s="102">
        <f t="shared" si="75"/>
        <v>5.6299999999999996E-2</v>
      </c>
      <c r="J308" s="528">
        <v>227</v>
      </c>
      <c r="K308" s="529">
        <f t="shared" si="65"/>
        <v>24.65447</v>
      </c>
      <c r="L308" s="530">
        <f t="shared" si="76"/>
        <v>6.0486479420806605E-4</v>
      </c>
      <c r="M308" s="531">
        <f t="shared" si="66"/>
        <v>1.5148073292016756E-5</v>
      </c>
      <c r="N308" s="532">
        <f t="shared" si="67"/>
        <v>24.65447</v>
      </c>
      <c r="O308" s="533">
        <f t="shared" si="77"/>
        <v>7.3643703263434634E-4</v>
      </c>
      <c r="P308" s="533">
        <f t="shared" si="68"/>
        <v>3.949511806018E-5</v>
      </c>
      <c r="Q308" s="532">
        <f t="shared" si="69"/>
        <v>24.65447</v>
      </c>
      <c r="R308" s="534">
        <f t="shared" si="78"/>
        <v>7.4241804449733562E-4</v>
      </c>
      <c r="S308" s="533">
        <f t="shared" si="70"/>
        <v>3.7120902224866781E-5</v>
      </c>
      <c r="T308" s="532">
        <f t="shared" si="71"/>
        <v>24.65447</v>
      </c>
      <c r="U308" s="534">
        <f t="shared" si="79"/>
        <v>6.8765525328041326E-4</v>
      </c>
      <c r="V308" s="533">
        <f t="shared" si="72"/>
        <v>3.8714990759687266E-5</v>
      </c>
      <c r="W308" s="533"/>
      <c r="X308" s="535">
        <v>5.3630000000000004E-2</v>
      </c>
      <c r="Y308" s="535">
        <v>0.05</v>
      </c>
      <c r="Z308" s="535">
        <v>5.6299999999999996E-2</v>
      </c>
    </row>
    <row r="309" spans="1:26" ht="14.5">
      <c r="A309" s="509">
        <v>305</v>
      </c>
      <c r="B309" s="524" t="s">
        <v>1044</v>
      </c>
      <c r="C309" s="525" t="s">
        <v>1045</v>
      </c>
      <c r="D309" s="526">
        <v>35.619999999999997</v>
      </c>
      <c r="E309" s="527">
        <v>1.0900000000000001</v>
      </c>
      <c r="F309" s="101">
        <f t="shared" si="64"/>
        <v>3.0600786075238636E-2</v>
      </c>
      <c r="G309" s="102">
        <f t="shared" si="73"/>
        <v>7.5999999999999998E-2</v>
      </c>
      <c r="H309" s="102">
        <f t="shared" si="74"/>
        <v>0.105</v>
      </c>
      <c r="I309" s="102">
        <f t="shared" si="75"/>
        <v>7.46E-2</v>
      </c>
      <c r="J309" s="528">
        <v>739.05200000000002</v>
      </c>
      <c r="K309" s="529">
        <f t="shared" si="65"/>
        <v>26.325032239999999</v>
      </c>
      <c r="L309" s="530">
        <f t="shared" si="76"/>
        <v>6.4584982797717021E-4</v>
      </c>
      <c r="M309" s="531">
        <f t="shared" si="66"/>
        <v>1.976351242265906E-5</v>
      </c>
      <c r="N309" s="532">
        <f t="shared" si="67"/>
        <v>26.325032239999999</v>
      </c>
      <c r="O309" s="533">
        <f t="shared" si="77"/>
        <v>7.8633726974577424E-4</v>
      </c>
      <c r="P309" s="533">
        <f t="shared" si="68"/>
        <v>5.9761632500678839E-5</v>
      </c>
      <c r="Q309" s="532">
        <f t="shared" si="69"/>
        <v>26.325032239999999</v>
      </c>
      <c r="R309" s="534">
        <f t="shared" si="78"/>
        <v>7.9272354899335149E-4</v>
      </c>
      <c r="S309" s="533">
        <f t="shared" si="70"/>
        <v>8.3235972644301904E-5</v>
      </c>
      <c r="T309" s="532">
        <f t="shared" si="71"/>
        <v>26.325032239999999</v>
      </c>
      <c r="U309" s="534">
        <f t="shared" si="79"/>
        <v>7.3425008579021346E-4</v>
      </c>
      <c r="V309" s="533">
        <f t="shared" si="72"/>
        <v>5.4775056399949926E-5</v>
      </c>
      <c r="W309" s="533"/>
      <c r="X309" s="535">
        <v>7.5999999999999998E-2</v>
      </c>
      <c r="Y309" s="535">
        <v>0.105</v>
      </c>
      <c r="Z309" s="535">
        <v>7.46E-2</v>
      </c>
    </row>
    <row r="310" spans="1:26" ht="14.5">
      <c r="A310" s="509">
        <v>306</v>
      </c>
      <c r="B310" s="524" t="s">
        <v>1046</v>
      </c>
      <c r="C310" s="525" t="s">
        <v>1047</v>
      </c>
      <c r="D310" s="526">
        <v>103.61</v>
      </c>
      <c r="E310" s="527">
        <v>5.4</v>
      </c>
      <c r="F310" s="101">
        <f t="shared" si="64"/>
        <v>5.2118521378245346E-2</v>
      </c>
      <c r="G310" s="102">
        <f t="shared" si="73"/>
        <v>7.0999999999999994E-2</v>
      </c>
      <c r="H310" s="102">
        <f t="shared" si="74"/>
        <v>6.5000000000000002E-2</v>
      </c>
      <c r="I310" s="102">
        <f t="shared" si="75"/>
        <v>7.3200000000000001E-2</v>
      </c>
      <c r="J310" s="528">
        <v>354</v>
      </c>
      <c r="K310" s="529">
        <f t="shared" si="65"/>
        <v>36.67794</v>
      </c>
      <c r="L310" s="530">
        <f t="shared" si="76"/>
        <v>8.9984471903374098E-4</v>
      </c>
      <c r="M310" s="531">
        <f t="shared" si="66"/>
        <v>4.6898576226061208E-5</v>
      </c>
      <c r="N310" s="532">
        <f t="shared" si="67"/>
        <v>36.67794</v>
      </c>
      <c r="O310" s="533">
        <f t="shared" si="77"/>
        <v>1.0955819896651842E-3</v>
      </c>
      <c r="P310" s="533">
        <f t="shared" si="68"/>
        <v>7.7786321266228075E-5</v>
      </c>
      <c r="Q310" s="532">
        <f t="shared" si="69"/>
        <v>36.67794</v>
      </c>
      <c r="R310" s="534">
        <f t="shared" si="78"/>
        <v>1.1044798160735399E-3</v>
      </c>
      <c r="S310" s="533">
        <f t="shared" si="70"/>
        <v>7.1791188044780096E-5</v>
      </c>
      <c r="T310" s="532">
        <f t="shared" si="71"/>
        <v>36.67794</v>
      </c>
      <c r="U310" s="534">
        <f t="shared" si="79"/>
        <v>1.0230103555462274E-3</v>
      </c>
      <c r="V310" s="533">
        <f t="shared" si="72"/>
        <v>7.4884358025983843E-5</v>
      </c>
      <c r="W310" s="533"/>
      <c r="X310" s="535">
        <v>7.0999999999999994E-2</v>
      </c>
      <c r="Y310" s="535">
        <v>6.5000000000000002E-2</v>
      </c>
      <c r="Z310" s="535">
        <v>7.3200000000000001E-2</v>
      </c>
    </row>
    <row r="311" spans="1:26" ht="14.5">
      <c r="A311" s="509">
        <v>307</v>
      </c>
      <c r="B311" s="524" t="s">
        <v>1048</v>
      </c>
      <c r="C311" s="525" t="s">
        <v>1049</v>
      </c>
      <c r="D311" s="526">
        <v>300.7</v>
      </c>
      <c r="E311" s="527">
        <v>12</v>
      </c>
      <c r="F311" s="101">
        <f t="shared" si="64"/>
        <v>3.9906883937479216E-2</v>
      </c>
      <c r="G311" s="102">
        <f t="shared" si="73"/>
        <v>2.35E-2</v>
      </c>
      <c r="H311" s="102">
        <f t="shared" si="74"/>
        <v>7.0000000000000007E-2</v>
      </c>
      <c r="I311" s="102">
        <f t="shared" si="75"/>
        <v>0.04</v>
      </c>
      <c r="J311" s="528">
        <v>175.43100000000001</v>
      </c>
      <c r="K311" s="529">
        <f t="shared" si="65"/>
        <v>52.752101699999997</v>
      </c>
      <c r="L311" s="530">
        <f t="shared" si="76"/>
        <v>1.2942030041129852E-3</v>
      </c>
      <c r="M311" s="531">
        <f t="shared" si="66"/>
        <v>5.1647609076673837E-5</v>
      </c>
      <c r="N311" s="532">
        <f t="shared" si="67"/>
        <v>52.752101699999997</v>
      </c>
      <c r="O311" s="533">
        <f t="shared" si="77"/>
        <v>1.5757224244193145E-3</v>
      </c>
      <c r="P311" s="533">
        <f t="shared" si="68"/>
        <v>3.7029476973853887E-5</v>
      </c>
      <c r="Q311" s="532">
        <f t="shared" si="69"/>
        <v>52.752101699999997</v>
      </c>
      <c r="R311" s="534">
        <f t="shared" si="78"/>
        <v>1.5885197364712595E-3</v>
      </c>
      <c r="S311" s="533">
        <f t="shared" si="70"/>
        <v>1.1119638155298818E-4</v>
      </c>
      <c r="T311" s="532">
        <f t="shared" si="71"/>
        <v>52.752101699999997</v>
      </c>
      <c r="U311" s="534">
        <f t="shared" si="79"/>
        <v>1.4713461638229341E-3</v>
      </c>
      <c r="V311" s="533">
        <f t="shared" si="72"/>
        <v>5.8853846552917366E-5</v>
      </c>
      <c r="W311" s="533"/>
      <c r="X311" s="535">
        <v>2.35E-2</v>
      </c>
      <c r="Y311" s="535">
        <v>7.0000000000000007E-2</v>
      </c>
      <c r="Z311" s="535">
        <v>0.04</v>
      </c>
    </row>
    <row r="312" spans="1:26" ht="14.5">
      <c r="A312" s="509">
        <v>308</v>
      </c>
      <c r="B312" s="524" t="s">
        <v>1050</v>
      </c>
      <c r="C312" s="525" t="s">
        <v>1051</v>
      </c>
      <c r="D312" s="526">
        <v>109.19</v>
      </c>
      <c r="E312" s="527">
        <v>4.8</v>
      </c>
      <c r="F312" s="101">
        <f t="shared" si="64"/>
        <v>4.3960069603443536E-2</v>
      </c>
      <c r="G312" s="102">
        <f t="shared" si="73"/>
        <v>0.14000000000000001</v>
      </c>
      <c r="H312" s="102">
        <f t="shared" si="74"/>
        <v>0.01</v>
      </c>
      <c r="I312" s="102">
        <f t="shared" si="75"/>
        <v>0.1419</v>
      </c>
      <c r="J312" s="528">
        <v>407.43700000000001</v>
      </c>
      <c r="K312" s="529">
        <f t="shared" si="65"/>
        <v>44.48804603</v>
      </c>
      <c r="L312" s="530">
        <f t="shared" si="76"/>
        <v>1.0914553347386871E-3</v>
      </c>
      <c r="M312" s="531">
        <f t="shared" si="66"/>
        <v>4.7980452484162448E-5</v>
      </c>
      <c r="N312" s="532">
        <f t="shared" si="67"/>
        <v>44.48804603</v>
      </c>
      <c r="O312" s="533">
        <f t="shared" si="77"/>
        <v>1.3288723953925358E-3</v>
      </c>
      <c r="P312" s="533">
        <f t="shared" si="68"/>
        <v>1.8604213535495503E-4</v>
      </c>
      <c r="Q312" s="532">
        <f t="shared" si="69"/>
        <v>44.48804603</v>
      </c>
      <c r="R312" s="534">
        <f t="shared" si="78"/>
        <v>1.3396649020279104E-3</v>
      </c>
      <c r="S312" s="533">
        <f t="shared" si="70"/>
        <v>1.3396649020279104E-5</v>
      </c>
      <c r="T312" s="532">
        <f t="shared" si="71"/>
        <v>44.48804603</v>
      </c>
      <c r="U312" s="534">
        <f t="shared" si="79"/>
        <v>1.2408475445106033E-3</v>
      </c>
      <c r="V312" s="533">
        <f t="shared" si="72"/>
        <v>1.760762665660546E-4</v>
      </c>
      <c r="W312" s="533"/>
      <c r="X312" s="535">
        <v>0.14000000000000001</v>
      </c>
      <c r="Y312" s="535">
        <v>0.01</v>
      </c>
      <c r="Z312" s="535">
        <v>0.1419</v>
      </c>
    </row>
    <row r="313" spans="1:26" ht="14.5">
      <c r="A313" s="509">
        <v>309</v>
      </c>
      <c r="B313" s="524" t="s">
        <v>1052</v>
      </c>
      <c r="C313" s="525" t="s">
        <v>1053</v>
      </c>
      <c r="D313" s="526">
        <v>326.25</v>
      </c>
      <c r="E313" s="527">
        <v>0.41</v>
      </c>
      <c r="F313" s="101">
        <f t="shared" si="64"/>
        <v>1.2567049808429119E-3</v>
      </c>
      <c r="G313" s="102">
        <f t="shared" si="73"/>
        <v>0.1525</v>
      </c>
      <c r="H313" s="102">
        <f t="shared" si="74"/>
        <v>0.17499999999999999</v>
      </c>
      <c r="I313" s="102">
        <f t="shared" si="75"/>
        <v>0.1351</v>
      </c>
      <c r="J313" s="528">
        <v>148.19900000000001</v>
      </c>
      <c r="K313" s="529">
        <f t="shared" si="65"/>
        <v>48.349923750000002</v>
      </c>
      <c r="L313" s="530">
        <f t="shared" si="76"/>
        <v>1.1862013938656738E-3</v>
      </c>
      <c r="M313" s="531">
        <f t="shared" si="66"/>
        <v>1.4907051999537969E-6</v>
      </c>
      <c r="N313" s="532">
        <f t="shared" si="67"/>
        <v>48.349923750000002</v>
      </c>
      <c r="O313" s="533">
        <f t="shared" si="77"/>
        <v>1.4442279381607841E-3</v>
      </c>
      <c r="P313" s="533">
        <f t="shared" si="68"/>
        <v>2.2024476056951956E-4</v>
      </c>
      <c r="Q313" s="532">
        <f t="shared" si="69"/>
        <v>48.349923750000002</v>
      </c>
      <c r="R313" s="534">
        <f t="shared" si="78"/>
        <v>1.4559573108677772E-3</v>
      </c>
      <c r="S313" s="533">
        <f t="shared" si="70"/>
        <v>2.54792529401861E-4</v>
      </c>
      <c r="T313" s="532">
        <f t="shared" si="71"/>
        <v>48.349923750000002</v>
      </c>
      <c r="U313" s="534">
        <f t="shared" si="79"/>
        <v>1.3485619063153627E-3</v>
      </c>
      <c r="V313" s="533">
        <f t="shared" si="72"/>
        <v>1.8219071354320549E-4</v>
      </c>
      <c r="W313" s="533"/>
      <c r="X313" s="535">
        <v>0.1525</v>
      </c>
      <c r="Y313" s="535">
        <v>0.17499999999999999</v>
      </c>
      <c r="Z313" s="535">
        <v>0.1351</v>
      </c>
    </row>
    <row r="314" spans="1:26" ht="14.5">
      <c r="A314" s="509">
        <v>310</v>
      </c>
      <c r="B314" s="524" t="s">
        <v>1054</v>
      </c>
      <c r="C314" s="525" t="s">
        <v>1055</v>
      </c>
      <c r="D314" s="526">
        <v>145.1</v>
      </c>
      <c r="E314" s="527">
        <v>3.6</v>
      </c>
      <c r="F314" s="101">
        <f t="shared" si="64"/>
        <v>2.4810475534114404E-2</v>
      </c>
      <c r="G314" s="102">
        <f t="shared" si="73"/>
        <v>8.0299999999999996E-2</v>
      </c>
      <c r="H314" s="102">
        <f t="shared" si="74"/>
        <v>5.5E-2</v>
      </c>
      <c r="I314" s="102">
        <f t="shared" si="75"/>
        <v>9.1199999999999989E-2</v>
      </c>
      <c r="J314" s="528">
        <v>1098</v>
      </c>
      <c r="K314" s="529">
        <f t="shared" si="65"/>
        <v>159.31979999999999</v>
      </c>
      <c r="L314" s="530">
        <f t="shared" si="76"/>
        <v>3.9087004523021681E-3</v>
      </c>
      <c r="M314" s="531">
        <f t="shared" si="66"/>
        <v>9.6976716942024846E-5</v>
      </c>
      <c r="N314" s="532">
        <f t="shared" si="67"/>
        <v>159.31979999999999</v>
      </c>
      <c r="O314" s="533">
        <f t="shared" si="77"/>
        <v>4.7589342116012845E-3</v>
      </c>
      <c r="P314" s="533">
        <f t="shared" si="68"/>
        <v>3.8214241719158312E-4</v>
      </c>
      <c r="Q314" s="532">
        <f t="shared" si="69"/>
        <v>159.31979999999999</v>
      </c>
      <c r="R314" s="534">
        <f t="shared" si="78"/>
        <v>4.7975841446077161E-3</v>
      </c>
      <c r="S314" s="533">
        <f t="shared" si="70"/>
        <v>2.6386712795342437E-4</v>
      </c>
      <c r="T314" s="532">
        <f t="shared" si="71"/>
        <v>159.31979999999999</v>
      </c>
      <c r="U314" s="534">
        <f t="shared" si="79"/>
        <v>4.4437011796069747E-3</v>
      </c>
      <c r="V314" s="533">
        <f t="shared" si="72"/>
        <v>4.0526554758015605E-4</v>
      </c>
      <c r="W314" s="533"/>
      <c r="X314" s="535">
        <v>8.0299999999999996E-2</v>
      </c>
      <c r="Y314" s="535">
        <v>5.5E-2</v>
      </c>
      <c r="Z314" s="535">
        <v>9.1199999999999989E-2</v>
      </c>
    </row>
    <row r="315" spans="1:26" ht="14.5">
      <c r="A315" s="509">
        <v>311</v>
      </c>
      <c r="B315" s="524" t="s">
        <v>1345</v>
      </c>
      <c r="C315" s="525" t="s">
        <v>1346</v>
      </c>
      <c r="D315" s="526">
        <v>232.84</v>
      </c>
      <c r="E315" s="527">
        <v>1.6</v>
      </c>
      <c r="F315" s="101">
        <f t="shared" si="64"/>
        <v>6.8716715341006701E-3</v>
      </c>
      <c r="G315" s="102">
        <f t="shared" si="73"/>
        <v>0.2</v>
      </c>
      <c r="H315" s="102" t="str">
        <f t="shared" si="74"/>
        <v>NMF</v>
      </c>
      <c r="I315" s="102" t="str">
        <f t="shared" si="75"/>
        <v>NMF</v>
      </c>
      <c r="J315" s="528">
        <v>271.56</v>
      </c>
      <c r="K315" s="529">
        <f t="shared" si="65"/>
        <v>63.230030400000004</v>
      </c>
      <c r="L315" s="530">
        <f t="shared" si="76"/>
        <v>1.5512651184821967E-3</v>
      </c>
      <c r="M315" s="531">
        <f t="shared" si="66"/>
        <v>1.0659784356517415E-5</v>
      </c>
      <c r="N315" s="532">
        <f t="shared" si="67"/>
        <v>63.230030400000004</v>
      </c>
      <c r="O315" s="533">
        <f t="shared" si="77"/>
        <v>1.8887015604535612E-3</v>
      </c>
      <c r="P315" s="533">
        <f t="shared" si="68"/>
        <v>3.7774031209071227E-4</v>
      </c>
      <c r="Q315" s="532" t="str">
        <f t="shared" si="69"/>
        <v>--</v>
      </c>
      <c r="R315" s="534" t="str">
        <f t="shared" si="78"/>
        <v>--</v>
      </c>
      <c r="S315" s="533" t="str">
        <f t="shared" si="70"/>
        <v>--</v>
      </c>
      <c r="T315" s="532" t="str">
        <f t="shared" si="71"/>
        <v>--</v>
      </c>
      <c r="U315" s="534" t="str">
        <f t="shared" si="79"/>
        <v>--</v>
      </c>
      <c r="V315" s="533" t="str">
        <f t="shared" si="72"/>
        <v>--</v>
      </c>
      <c r="W315" s="533"/>
      <c r="X315" s="535">
        <v>0.2</v>
      </c>
      <c r="Y315" s="535" t="s">
        <v>36</v>
      </c>
      <c r="Z315" s="535">
        <v>0.21820000000000001</v>
      </c>
    </row>
    <row r="316" spans="1:26" ht="14.5">
      <c r="A316" s="509">
        <v>312</v>
      </c>
      <c r="B316" s="524" t="s">
        <v>1056</v>
      </c>
      <c r="C316" s="525" t="s">
        <v>1057</v>
      </c>
      <c r="D316" s="526">
        <v>71.900000000000006</v>
      </c>
      <c r="E316" s="527">
        <v>2.82</v>
      </c>
      <c r="F316" s="101">
        <f t="shared" si="64"/>
        <v>3.9221140472878994E-2</v>
      </c>
      <c r="G316" s="102" t="str">
        <f t="shared" si="73"/>
        <v>NMF</v>
      </c>
      <c r="H316" s="102">
        <f t="shared" si="74"/>
        <v>0.1</v>
      </c>
      <c r="I316" s="102">
        <f t="shared" si="75"/>
        <v>4.5899999999999996E-2</v>
      </c>
      <c r="J316" s="528">
        <v>181.529</v>
      </c>
      <c r="K316" s="529">
        <f t="shared" si="65"/>
        <v>13.051935100000001</v>
      </c>
      <c r="L316" s="530">
        <f t="shared" si="76"/>
        <v>3.2021195500363768E-4</v>
      </c>
      <c r="M316" s="531">
        <f t="shared" si="66"/>
        <v>1.2559078068292881E-5</v>
      </c>
      <c r="N316" s="532" t="str">
        <f t="shared" si="67"/>
        <v>--</v>
      </c>
      <c r="O316" s="533" t="str">
        <f t="shared" si="77"/>
        <v>--</v>
      </c>
      <c r="P316" s="533" t="str">
        <f t="shared" si="68"/>
        <v>--</v>
      </c>
      <c r="Q316" s="532">
        <f t="shared" si="69"/>
        <v>13.051935100000001</v>
      </c>
      <c r="R316" s="534">
        <f t="shared" si="78"/>
        <v>3.9303185725948021E-4</v>
      </c>
      <c r="S316" s="533">
        <f t="shared" si="70"/>
        <v>3.9303185725948021E-5</v>
      </c>
      <c r="T316" s="532">
        <f t="shared" si="71"/>
        <v>13.051935100000001</v>
      </c>
      <c r="U316" s="534">
        <f t="shared" si="79"/>
        <v>3.6404074948640213E-4</v>
      </c>
      <c r="V316" s="533">
        <f t="shared" si="72"/>
        <v>1.6709470401425856E-5</v>
      </c>
      <c r="W316" s="533"/>
      <c r="X316" s="535" t="s">
        <v>36</v>
      </c>
      <c r="Y316" s="535">
        <v>0.1</v>
      </c>
      <c r="Z316" s="535">
        <v>4.5899999999999996E-2</v>
      </c>
    </row>
    <row r="317" spans="1:26" ht="14.5">
      <c r="A317" s="509">
        <v>313</v>
      </c>
      <c r="B317" s="524" t="s">
        <v>1347</v>
      </c>
      <c r="C317" s="525" t="s">
        <v>1348</v>
      </c>
      <c r="D317" s="526">
        <v>547.66999999999996</v>
      </c>
      <c r="E317" s="527">
        <v>3.52</v>
      </c>
      <c r="F317" s="101">
        <f t="shared" si="64"/>
        <v>6.4272280753008204E-3</v>
      </c>
      <c r="G317" s="102">
        <f t="shared" si="73"/>
        <v>3.3000000000000002E-2</v>
      </c>
      <c r="H317" s="102">
        <f t="shared" si="74"/>
        <v>0.02</v>
      </c>
      <c r="I317" s="102">
        <f t="shared" si="75"/>
        <v>8.7599999999999997E-2</v>
      </c>
      <c r="J317" s="528">
        <v>107.965</v>
      </c>
      <c r="K317" s="529">
        <f t="shared" si="65"/>
        <v>59.129191549999994</v>
      </c>
      <c r="L317" s="530">
        <f t="shared" si="76"/>
        <v>1.4506564642671315E-3</v>
      </c>
      <c r="M317" s="531">
        <f t="shared" si="66"/>
        <v>9.3236999547543292E-6</v>
      </c>
      <c r="N317" s="532">
        <f t="shared" si="67"/>
        <v>59.129191549999994</v>
      </c>
      <c r="O317" s="533">
        <f t="shared" si="77"/>
        <v>1.7662081710598469E-3</v>
      </c>
      <c r="P317" s="533">
        <f t="shared" si="68"/>
        <v>5.8284869644974949E-5</v>
      </c>
      <c r="Q317" s="532">
        <f t="shared" si="69"/>
        <v>59.129191549999994</v>
      </c>
      <c r="R317" s="534">
        <f t="shared" si="78"/>
        <v>1.7805525230621213E-3</v>
      </c>
      <c r="S317" s="533">
        <f t="shared" si="70"/>
        <v>3.5611050461242425E-5</v>
      </c>
      <c r="T317" s="532">
        <f t="shared" si="71"/>
        <v>59.129191549999994</v>
      </c>
      <c r="U317" s="534">
        <f t="shared" si="79"/>
        <v>1.6492140853801081E-3</v>
      </c>
      <c r="V317" s="533">
        <f t="shared" si="72"/>
        <v>1.4447115387929748E-4</v>
      </c>
      <c r="W317" s="533"/>
      <c r="X317" s="535">
        <v>3.3000000000000002E-2</v>
      </c>
      <c r="Y317" s="535">
        <v>0.02</v>
      </c>
      <c r="Z317" s="535">
        <v>8.7599999999999997E-2</v>
      </c>
    </row>
    <row r="318" spans="1:26" ht="14.5">
      <c r="A318" s="509">
        <v>314</v>
      </c>
      <c r="B318" s="524" t="s">
        <v>1058</v>
      </c>
      <c r="C318" s="525" t="s">
        <v>1059</v>
      </c>
      <c r="D318" s="526">
        <v>21.3</v>
      </c>
      <c r="E318" s="527">
        <v>1.08</v>
      </c>
      <c r="F318" s="101">
        <f t="shared" si="64"/>
        <v>5.0704225352112678E-2</v>
      </c>
      <c r="G318" s="102">
        <f t="shared" si="73"/>
        <v>3.6499999999999998E-2</v>
      </c>
      <c r="H318" s="102">
        <f t="shared" si="74"/>
        <v>0.05</v>
      </c>
      <c r="I318" s="102">
        <f t="shared" si="75"/>
        <v>5.6100000000000004E-2</v>
      </c>
      <c r="J318" s="528">
        <v>898.93</v>
      </c>
      <c r="K318" s="529">
        <f t="shared" si="65"/>
        <v>19.147209</v>
      </c>
      <c r="L318" s="530">
        <f t="shared" si="76"/>
        <v>4.6975143377423368E-4</v>
      </c>
      <c r="M318" s="531">
        <f t="shared" si="66"/>
        <v>2.3818382557566779E-5</v>
      </c>
      <c r="N318" s="532">
        <f t="shared" si="67"/>
        <v>19.147209</v>
      </c>
      <c r="O318" s="533">
        <f t="shared" si="77"/>
        <v>5.7193335647408566E-4</v>
      </c>
      <c r="P318" s="533">
        <f t="shared" si="68"/>
        <v>2.0875567511304124E-5</v>
      </c>
      <c r="Q318" s="532">
        <f t="shared" si="69"/>
        <v>19.147209</v>
      </c>
      <c r="R318" s="534">
        <f t="shared" si="78"/>
        <v>5.7657834313054731E-4</v>
      </c>
      <c r="S318" s="533">
        <f t="shared" si="70"/>
        <v>2.8828917156527366E-5</v>
      </c>
      <c r="T318" s="532">
        <f t="shared" si="71"/>
        <v>19.147209</v>
      </c>
      <c r="U318" s="534">
        <f t="shared" si="79"/>
        <v>5.3404834314053429E-4</v>
      </c>
      <c r="V318" s="533">
        <f t="shared" si="72"/>
        <v>2.9960112050183976E-5</v>
      </c>
      <c r="W318" s="533"/>
      <c r="X318" s="535">
        <v>3.6499999999999998E-2</v>
      </c>
      <c r="Y318" s="535">
        <v>0.05</v>
      </c>
      <c r="Z318" s="535">
        <v>5.6100000000000004E-2</v>
      </c>
    </row>
    <row r="319" spans="1:26" ht="14.5">
      <c r="A319" s="509">
        <v>315</v>
      </c>
      <c r="B319" s="524" t="s">
        <v>1060</v>
      </c>
      <c r="C319" s="525" t="s">
        <v>1061</v>
      </c>
      <c r="D319" s="526">
        <v>145.54</v>
      </c>
      <c r="E319" s="527">
        <v>2.0499999999999998</v>
      </c>
      <c r="F319" s="101">
        <f t="shared" si="64"/>
        <v>1.4085474783564655E-2</v>
      </c>
      <c r="G319" s="102">
        <f t="shared" si="73"/>
        <v>8.1000000000000003E-2</v>
      </c>
      <c r="H319" s="102">
        <f t="shared" si="74"/>
        <v>0.105</v>
      </c>
      <c r="I319" s="102">
        <f t="shared" si="75"/>
        <v>8.0700000000000008E-2</v>
      </c>
      <c r="J319" s="528">
        <v>203.1</v>
      </c>
      <c r="K319" s="529">
        <f t="shared" si="65"/>
        <v>29.559173999999999</v>
      </c>
      <c r="L319" s="530">
        <f t="shared" si="76"/>
        <v>7.2519521605901149E-4</v>
      </c>
      <c r="M319" s="531">
        <f t="shared" si="66"/>
        <v>1.0214718928960928E-5</v>
      </c>
      <c r="N319" s="532">
        <f t="shared" si="67"/>
        <v>29.559173999999999</v>
      </c>
      <c r="O319" s="533">
        <f t="shared" si="77"/>
        <v>8.8294213534836972E-4</v>
      </c>
      <c r="P319" s="533">
        <f t="shared" si="68"/>
        <v>7.1518312963217952E-5</v>
      </c>
      <c r="Q319" s="532">
        <f t="shared" si="69"/>
        <v>29.559173999999999</v>
      </c>
      <c r="R319" s="534">
        <f t="shared" si="78"/>
        <v>8.9011299606264033E-4</v>
      </c>
      <c r="S319" s="533">
        <f t="shared" si="70"/>
        <v>9.3461864586577237E-5</v>
      </c>
      <c r="T319" s="532">
        <f t="shared" si="71"/>
        <v>29.559173999999999</v>
      </c>
      <c r="U319" s="534">
        <f t="shared" si="79"/>
        <v>8.2445582013037819E-4</v>
      </c>
      <c r="V319" s="533">
        <f t="shared" si="72"/>
        <v>6.6533584684521523E-5</v>
      </c>
      <c r="W319" s="533"/>
      <c r="X319" s="535">
        <v>8.1000000000000003E-2</v>
      </c>
      <c r="Y319" s="535">
        <v>0.105</v>
      </c>
      <c r="Z319" s="535">
        <v>8.0700000000000008E-2</v>
      </c>
    </row>
    <row r="320" spans="1:26" ht="14.5">
      <c r="A320" s="509">
        <v>316</v>
      </c>
      <c r="B320" s="524" t="s">
        <v>1062</v>
      </c>
      <c r="C320" s="525" t="s">
        <v>1063</v>
      </c>
      <c r="D320" s="526">
        <v>251.47</v>
      </c>
      <c r="E320" s="527">
        <v>3.3</v>
      </c>
      <c r="F320" s="101">
        <f t="shared" si="64"/>
        <v>1.3122837714240266E-2</v>
      </c>
      <c r="G320" s="102">
        <f t="shared" si="73"/>
        <v>0.13699999999999998</v>
      </c>
      <c r="H320" s="102">
        <f t="shared" si="74"/>
        <v>0.12</v>
      </c>
      <c r="I320" s="102">
        <f t="shared" si="75"/>
        <v>0.13789999999999999</v>
      </c>
      <c r="J320" s="528">
        <v>61.764000000000003</v>
      </c>
      <c r="K320" s="529">
        <f t="shared" si="65"/>
        <v>15.531793080000002</v>
      </c>
      <c r="L320" s="530">
        <f t="shared" si="76"/>
        <v>3.8105198874753608E-4</v>
      </c>
      <c r="M320" s="531">
        <f t="shared" si="66"/>
        <v>5.0004834090224236E-6</v>
      </c>
      <c r="N320" s="532">
        <f t="shared" si="67"/>
        <v>15.531793080000002</v>
      </c>
      <c r="O320" s="533">
        <f t="shared" si="77"/>
        <v>4.6393970778223486E-4</v>
      </c>
      <c r="P320" s="533">
        <f t="shared" si="68"/>
        <v>6.3559739966166174E-5</v>
      </c>
      <c r="Q320" s="532">
        <f t="shared" si="69"/>
        <v>15.531793080000002</v>
      </c>
      <c r="R320" s="534">
        <f t="shared" si="78"/>
        <v>4.6770761837471465E-4</v>
      </c>
      <c r="S320" s="533">
        <f t="shared" si="70"/>
        <v>5.6124914204965758E-5</v>
      </c>
      <c r="T320" s="532">
        <f t="shared" si="71"/>
        <v>15.531793080000002</v>
      </c>
      <c r="U320" s="534">
        <f t="shared" si="79"/>
        <v>4.3320822164606948E-4</v>
      </c>
      <c r="V320" s="533">
        <f t="shared" si="72"/>
        <v>5.9739413764992976E-5</v>
      </c>
      <c r="W320" s="533"/>
      <c r="X320" s="535">
        <v>0.13699999999999998</v>
      </c>
      <c r="Y320" s="535">
        <v>0.12</v>
      </c>
      <c r="Z320" s="535">
        <v>0.13789999999999999</v>
      </c>
    </row>
    <row r="321" spans="1:26" ht="14.5">
      <c r="A321" s="509">
        <v>317</v>
      </c>
      <c r="B321" s="524" t="s">
        <v>1064</v>
      </c>
      <c r="C321" s="525" t="s">
        <v>1065</v>
      </c>
      <c r="D321" s="526">
        <v>243.09</v>
      </c>
      <c r="E321" s="527">
        <v>2.2200000000000002</v>
      </c>
      <c r="F321" s="101">
        <f t="shared" ref="F321:F382" si="80">E321/D321</f>
        <v>9.1324200913242021E-3</v>
      </c>
      <c r="G321" s="102">
        <f t="shared" si="73"/>
        <v>0.18</v>
      </c>
      <c r="H321" s="102">
        <f t="shared" si="74"/>
        <v>0.11</v>
      </c>
      <c r="I321" s="102">
        <f t="shared" si="75"/>
        <v>0.15310000000000001</v>
      </c>
      <c r="J321" s="528">
        <v>146.62700000000001</v>
      </c>
      <c r="K321" s="529">
        <f t="shared" ref="K321:K382" si="81">J321*D321/1000</f>
        <v>35.643557430000001</v>
      </c>
      <c r="L321" s="530">
        <f t="shared" si="76"/>
        <v>8.7446751156039189E-4</v>
      </c>
      <c r="M321" s="531">
        <f t="shared" ref="M321:M382" si="82">F321*L321</f>
        <v>7.9860046717844025E-6</v>
      </c>
      <c r="N321" s="532">
        <f t="shared" ref="N321:N382" si="83">IF(G321="n/a","--",IF(G321="NMF","--",$K321))</f>
        <v>35.643557430000001</v>
      </c>
      <c r="O321" s="533">
        <f t="shared" si="77"/>
        <v>1.0646846460816682E-3</v>
      </c>
      <c r="P321" s="533">
        <f t="shared" ref="P321:P382" si="84">IF(O321="--","--",G321*O321)</f>
        <v>1.9164323629470027E-4</v>
      </c>
      <c r="Q321" s="532">
        <f t="shared" ref="Q321:Q382" si="85">IF(H321="n/a","--",IF(H321="NMF","--",$K321))</f>
        <v>35.643557430000001</v>
      </c>
      <c r="R321" s="534">
        <f t="shared" si="78"/>
        <v>1.0733315380987334E-3</v>
      </c>
      <c r="S321" s="533">
        <f t="shared" ref="S321:S382" si="86">IF(R321="--","--",H321*R321)</f>
        <v>1.1806646919086067E-4</v>
      </c>
      <c r="T321" s="532">
        <f t="shared" ref="T321:T382" si="87">IF(I321="n/a","--",IF(I321="NMF","--",$K321))</f>
        <v>35.643557430000001</v>
      </c>
      <c r="U321" s="534">
        <f t="shared" si="79"/>
        <v>9.9415965998626648E-4</v>
      </c>
      <c r="V321" s="533">
        <f t="shared" ref="V321:V382" si="88">IF(U321="--","--",I321*U321)</f>
        <v>1.5220584394389742E-4</v>
      </c>
      <c r="W321" s="533"/>
      <c r="X321" s="535">
        <v>0.18</v>
      </c>
      <c r="Y321" s="535">
        <v>0.11</v>
      </c>
      <c r="Z321" s="535">
        <v>0.15310000000000001</v>
      </c>
    </row>
    <row r="322" spans="1:26" ht="14.5">
      <c r="A322" s="509">
        <v>318</v>
      </c>
      <c r="B322" s="524" t="s">
        <v>1066</v>
      </c>
      <c r="C322" s="525" t="s">
        <v>1067</v>
      </c>
      <c r="D322" s="526">
        <v>291.24</v>
      </c>
      <c r="E322" s="527">
        <v>5.2</v>
      </c>
      <c r="F322" s="101">
        <f t="shared" si="80"/>
        <v>1.7854690289795357E-2</v>
      </c>
      <c r="G322" s="102">
        <f t="shared" si="73"/>
        <v>0.10099999999999999</v>
      </c>
      <c r="H322" s="102">
        <f t="shared" si="74"/>
        <v>0.08</v>
      </c>
      <c r="I322" s="102">
        <f t="shared" si="75"/>
        <v>8.6400000000000005E-2</v>
      </c>
      <c r="J322" s="528">
        <v>113.07299999999999</v>
      </c>
      <c r="K322" s="529">
        <f t="shared" si="81"/>
        <v>32.931380519999998</v>
      </c>
      <c r="L322" s="530">
        <f t="shared" si="76"/>
        <v>8.0792784031525787E-4</v>
      </c>
      <c r="M322" s="531">
        <f t="shared" si="82"/>
        <v>1.4425301365332169E-5</v>
      </c>
      <c r="N322" s="532">
        <f t="shared" si="83"/>
        <v>32.931380519999998</v>
      </c>
      <c r="O322" s="533">
        <f t="shared" si="77"/>
        <v>9.8367104020898911E-4</v>
      </c>
      <c r="P322" s="533">
        <f t="shared" si="84"/>
        <v>9.9350775061107893E-5</v>
      </c>
      <c r="Q322" s="532">
        <f t="shared" si="85"/>
        <v>32.931380519999998</v>
      </c>
      <c r="R322" s="534">
        <f t="shared" si="78"/>
        <v>9.9165997599040046E-4</v>
      </c>
      <c r="S322" s="533">
        <f t="shared" si="86"/>
        <v>7.9332798079232033E-5</v>
      </c>
      <c r="T322" s="532">
        <f t="shared" si="87"/>
        <v>32.931380519999998</v>
      </c>
      <c r="U322" s="534">
        <f t="shared" si="79"/>
        <v>9.185124163023689E-4</v>
      </c>
      <c r="V322" s="533">
        <f t="shared" si="88"/>
        <v>7.9359472768524684E-5</v>
      </c>
      <c r="W322" s="533"/>
      <c r="X322" s="535">
        <v>0.10099999999999999</v>
      </c>
      <c r="Y322" s="535">
        <v>0.08</v>
      </c>
      <c r="Z322" s="535">
        <v>8.6400000000000005E-2</v>
      </c>
    </row>
    <row r="323" spans="1:26" ht="14.5">
      <c r="A323" s="509">
        <v>319</v>
      </c>
      <c r="B323" s="524" t="s">
        <v>1068</v>
      </c>
      <c r="C323" s="525" t="s">
        <v>1069</v>
      </c>
      <c r="D323" s="526">
        <v>56.69</v>
      </c>
      <c r="E323" s="527">
        <v>0.66</v>
      </c>
      <c r="F323" s="101">
        <f t="shared" si="80"/>
        <v>1.1642264949726585E-2</v>
      </c>
      <c r="G323" s="102">
        <f t="shared" si="73"/>
        <v>0.124</v>
      </c>
      <c r="H323" s="102">
        <f t="shared" si="74"/>
        <v>9.5000000000000001E-2</v>
      </c>
      <c r="I323" s="102" t="str">
        <f t="shared" si="75"/>
        <v>NMF</v>
      </c>
      <c r="J323" s="528">
        <v>484.64600000000002</v>
      </c>
      <c r="K323" s="529">
        <f t="shared" si="81"/>
        <v>27.474581740000001</v>
      </c>
      <c r="L323" s="530">
        <f t="shared" si="76"/>
        <v>6.7405250366841358E-4</v>
      </c>
      <c r="M323" s="531">
        <f t="shared" si="82"/>
        <v>7.8474978377342221E-6</v>
      </c>
      <c r="N323" s="532">
        <f t="shared" si="83"/>
        <v>27.474581740000001</v>
      </c>
      <c r="O323" s="533">
        <f t="shared" si="77"/>
        <v>8.2067468696246139E-4</v>
      </c>
      <c r="P323" s="533">
        <f t="shared" si="84"/>
        <v>1.0176366118334521E-4</v>
      </c>
      <c r="Q323" s="532">
        <f t="shared" si="85"/>
        <v>27.474581740000001</v>
      </c>
      <c r="R323" s="534">
        <f t="shared" si="78"/>
        <v>8.2733983933919511E-4</v>
      </c>
      <c r="S323" s="533">
        <f t="shared" si="86"/>
        <v>7.8597284737223538E-5</v>
      </c>
      <c r="T323" s="532" t="str">
        <f t="shared" si="87"/>
        <v>--</v>
      </c>
      <c r="U323" s="534" t="str">
        <f t="shared" si="79"/>
        <v>--</v>
      </c>
      <c r="V323" s="533" t="str">
        <f t="shared" si="88"/>
        <v>--</v>
      </c>
      <c r="W323" s="533"/>
      <c r="X323" s="535">
        <v>0.124</v>
      </c>
      <c r="Y323" s="535">
        <v>9.5000000000000001E-2</v>
      </c>
      <c r="Z323" s="535" t="s">
        <v>36</v>
      </c>
    </row>
    <row r="324" spans="1:26" ht="14.5">
      <c r="A324" s="509">
        <v>320</v>
      </c>
      <c r="B324" s="524" t="s">
        <v>1070</v>
      </c>
      <c r="C324" s="525" t="s">
        <v>438</v>
      </c>
      <c r="D324" s="526">
        <v>574.98</v>
      </c>
      <c r="E324" s="527">
        <v>3.47</v>
      </c>
      <c r="F324" s="101">
        <f t="shared" si="80"/>
        <v>6.0349925214790079E-3</v>
      </c>
      <c r="G324" s="102">
        <f t="shared" si="73"/>
        <v>7.9000000000000001E-2</v>
      </c>
      <c r="H324" s="102">
        <f t="shared" si="74"/>
        <v>7.4999999999999997E-2</v>
      </c>
      <c r="I324" s="102">
        <f t="shared" si="75"/>
        <v>0.105</v>
      </c>
      <c r="J324" s="528">
        <v>107.515</v>
      </c>
      <c r="K324" s="529">
        <f t="shared" si="81"/>
        <v>61.818974699999998</v>
      </c>
      <c r="L324" s="530">
        <f t="shared" si="76"/>
        <v>1.5166467342461283E-3</v>
      </c>
      <c r="M324" s="531">
        <f t="shared" si="82"/>
        <v>9.1529516989009451E-6</v>
      </c>
      <c r="N324" s="532">
        <f t="shared" si="83"/>
        <v>61.818974699999998</v>
      </c>
      <c r="O324" s="533">
        <f t="shared" si="77"/>
        <v>1.846552868042417E-3</v>
      </c>
      <c r="P324" s="533">
        <f t="shared" si="84"/>
        <v>1.4587767657535096E-4</v>
      </c>
      <c r="Q324" s="532">
        <f t="shared" si="85"/>
        <v>61.818974699999998</v>
      </c>
      <c r="R324" s="534">
        <f t="shared" si="78"/>
        <v>1.8615497437018222E-3</v>
      </c>
      <c r="S324" s="533">
        <f t="shared" si="86"/>
        <v>1.3961623077763665E-4</v>
      </c>
      <c r="T324" s="532">
        <f t="shared" si="87"/>
        <v>61.818974699999998</v>
      </c>
      <c r="U324" s="534">
        <f t="shared" si="79"/>
        <v>1.7242367288716389E-3</v>
      </c>
      <c r="V324" s="533">
        <f t="shared" si="88"/>
        <v>1.8104485653152208E-4</v>
      </c>
      <c r="W324" s="533"/>
      <c r="X324" s="535">
        <v>7.9000000000000001E-2</v>
      </c>
      <c r="Y324" s="535">
        <v>7.4999999999999997E-2</v>
      </c>
      <c r="Z324" s="535">
        <v>0.105</v>
      </c>
    </row>
    <row r="325" spans="1:26" ht="14.5">
      <c r="A325" s="509">
        <v>321</v>
      </c>
      <c r="B325" s="524" t="s">
        <v>1071</v>
      </c>
      <c r="C325" s="525" t="s">
        <v>1072</v>
      </c>
      <c r="D325" s="526">
        <v>143.37</v>
      </c>
      <c r="E325" s="527">
        <v>1.66</v>
      </c>
      <c r="F325" s="101">
        <f t="shared" si="80"/>
        <v>1.1578433424007811E-2</v>
      </c>
      <c r="G325" s="102">
        <f t="shared" ref="G325:G388" si="89">IF(AND(X325&gt;=$F$423,X325&lt;=$F$424),X325,"NMF")</f>
        <v>5.5399999999999998E-2</v>
      </c>
      <c r="H325" s="102">
        <f t="shared" ref="H325:H388" si="90">IF(AND(Y325&gt;=$F$423,Y325&lt;=$F$424),Y325,"NMF")</f>
        <v>0.08</v>
      </c>
      <c r="I325" s="102">
        <f t="shared" ref="I325:I388" si="91">IF(AND(Z325&gt;=$F$423,Z325&lt;=$F$424),Z325,"NMF")</f>
        <v>8.0199999999999994E-2</v>
      </c>
      <c r="J325" s="528">
        <v>328.834</v>
      </c>
      <c r="K325" s="529">
        <f t="shared" si="81"/>
        <v>47.14493058</v>
      </c>
      <c r="L325" s="530">
        <f t="shared" ref="L325:L388" si="92">K325/K$408</f>
        <v>1.1566384811040457E-3</v>
      </c>
      <c r="M325" s="531">
        <f t="shared" si="82"/>
        <v>1.3392061649108708E-5</v>
      </c>
      <c r="N325" s="532">
        <f t="shared" si="83"/>
        <v>47.14493058</v>
      </c>
      <c r="O325" s="533">
        <f t="shared" ref="O325:O388" si="93">IF(N325="--","--",N325/N$408)</f>
        <v>1.4082344004996844E-3</v>
      </c>
      <c r="P325" s="533">
        <f t="shared" si="84"/>
        <v>7.8016185787682513E-5</v>
      </c>
      <c r="Q325" s="532">
        <f t="shared" si="85"/>
        <v>47.14493058</v>
      </c>
      <c r="R325" s="534">
        <f t="shared" ref="R325:R388" si="94">IF(Q325="--","--",Q325/Q$408)</f>
        <v>1.4196714498087462E-3</v>
      </c>
      <c r="S325" s="533">
        <f t="shared" si="86"/>
        <v>1.135737159846997E-4</v>
      </c>
      <c r="T325" s="532">
        <f t="shared" si="87"/>
        <v>47.14493058</v>
      </c>
      <c r="U325" s="534">
        <f t="shared" ref="U325:U388" si="95">IF(T325="--","--",T325/T$408)</f>
        <v>1.3149525898904905E-3</v>
      </c>
      <c r="V325" s="533">
        <f t="shared" si="88"/>
        <v>1.0545919770921733E-4</v>
      </c>
      <c r="W325" s="533"/>
      <c r="X325" s="535">
        <v>5.5399999999999998E-2</v>
      </c>
      <c r="Y325" s="535">
        <v>0.08</v>
      </c>
      <c r="Z325" s="535">
        <v>8.0199999999999994E-2</v>
      </c>
    </row>
    <row r="326" spans="1:26" ht="14.5">
      <c r="A326" s="509">
        <v>322</v>
      </c>
      <c r="B326" s="524" t="s">
        <v>1073</v>
      </c>
      <c r="C326" s="525" t="s">
        <v>436</v>
      </c>
      <c r="D326" s="526">
        <v>249.33</v>
      </c>
      <c r="E326" s="527">
        <v>2.3199999999999998</v>
      </c>
      <c r="F326" s="101">
        <f t="shared" si="80"/>
        <v>9.3049372317811716E-3</v>
      </c>
      <c r="G326" s="102">
        <f t="shared" si="89"/>
        <v>9.2149999999999996E-2</v>
      </c>
      <c r="H326" s="102">
        <f t="shared" si="90"/>
        <v>0.115</v>
      </c>
      <c r="I326" s="102">
        <f t="shared" si="91"/>
        <v>9.4600000000000004E-2</v>
      </c>
      <c r="J326" s="528">
        <v>312.49700000000001</v>
      </c>
      <c r="K326" s="529">
        <f t="shared" si="81"/>
        <v>77.914877010000012</v>
      </c>
      <c r="L326" s="530">
        <f t="shared" si="92"/>
        <v>1.9115383964206263E-3</v>
      </c>
      <c r="M326" s="531">
        <f t="shared" si="82"/>
        <v>1.7786744794833563E-5</v>
      </c>
      <c r="N326" s="532">
        <f t="shared" si="83"/>
        <v>77.914877010000012</v>
      </c>
      <c r="O326" s="533">
        <f t="shared" si="93"/>
        <v>2.3273427018838553E-3</v>
      </c>
      <c r="P326" s="533">
        <f t="shared" si="84"/>
        <v>2.1446462997859727E-4</v>
      </c>
      <c r="Q326" s="532">
        <f t="shared" si="85"/>
        <v>77.914877010000012</v>
      </c>
      <c r="R326" s="534">
        <f t="shared" si="94"/>
        <v>2.3462443373154897E-3</v>
      </c>
      <c r="S326" s="533">
        <f t="shared" si="86"/>
        <v>2.6981809879128132E-4</v>
      </c>
      <c r="T326" s="532">
        <f t="shared" si="87"/>
        <v>77.914877010000012</v>
      </c>
      <c r="U326" s="534">
        <f t="shared" si="95"/>
        <v>2.1731789198722912E-3</v>
      </c>
      <c r="V326" s="533">
        <f t="shared" si="88"/>
        <v>2.0558272581991876E-4</v>
      </c>
      <c r="W326" s="533"/>
      <c r="X326" s="535">
        <v>9.2149999999999996E-2</v>
      </c>
      <c r="Y326" s="535">
        <v>0.115</v>
      </c>
      <c r="Z326" s="535">
        <v>9.4600000000000004E-2</v>
      </c>
    </row>
    <row r="327" spans="1:26" ht="14.5">
      <c r="A327" s="509">
        <v>323</v>
      </c>
      <c r="B327" s="524" t="s">
        <v>1074</v>
      </c>
      <c r="C327" s="525" t="s">
        <v>1075</v>
      </c>
      <c r="D327" s="526">
        <v>128.66999999999999</v>
      </c>
      <c r="E327" s="527">
        <v>2.52</v>
      </c>
      <c r="F327" s="101">
        <f t="shared" si="80"/>
        <v>1.9584984844952205E-2</v>
      </c>
      <c r="G327" s="102">
        <f t="shared" si="89"/>
        <v>8.8950000000000001E-2</v>
      </c>
      <c r="H327" s="102">
        <f t="shared" si="90"/>
        <v>0.12</v>
      </c>
      <c r="I327" s="102">
        <f t="shared" si="91"/>
        <v>9.2699999999999991E-2</v>
      </c>
      <c r="J327" s="528">
        <v>1335.954</v>
      </c>
      <c r="K327" s="529">
        <f t="shared" si="81"/>
        <v>171.89720117999997</v>
      </c>
      <c r="L327" s="530">
        <f t="shared" si="92"/>
        <v>4.2172703455674856E-3</v>
      </c>
      <c r="M327" s="531">
        <f t="shared" si="82"/>
        <v>8.2595175805005554E-5</v>
      </c>
      <c r="N327" s="532">
        <f t="shared" si="83"/>
        <v>171.89720117999997</v>
      </c>
      <c r="O327" s="533">
        <f t="shared" si="93"/>
        <v>5.1346252730295333E-3</v>
      </c>
      <c r="P327" s="533">
        <f t="shared" si="84"/>
        <v>4.5672491803597698E-4</v>
      </c>
      <c r="Q327" s="532">
        <f t="shared" si="85"/>
        <v>171.89720117999997</v>
      </c>
      <c r="R327" s="534">
        <f t="shared" si="94"/>
        <v>5.1763264006332594E-3</v>
      </c>
      <c r="S327" s="533">
        <f t="shared" si="86"/>
        <v>6.2115916807599109E-4</v>
      </c>
      <c r="T327" s="532">
        <f t="shared" si="87"/>
        <v>171.89720117999997</v>
      </c>
      <c r="U327" s="534">
        <f t="shared" si="95"/>
        <v>4.7945063680390216E-3</v>
      </c>
      <c r="V327" s="533">
        <f t="shared" si="88"/>
        <v>4.4445074031721724E-4</v>
      </c>
      <c r="W327" s="533"/>
      <c r="X327" s="535">
        <v>8.8950000000000001E-2</v>
      </c>
      <c r="Y327" s="535">
        <v>0.12</v>
      </c>
      <c r="Z327" s="535">
        <v>9.2699999999999991E-2</v>
      </c>
    </row>
    <row r="328" spans="1:26" ht="14.5">
      <c r="A328" s="509">
        <v>324</v>
      </c>
      <c r="B328" s="524" t="s">
        <v>1076</v>
      </c>
      <c r="C328" s="525" t="s">
        <v>1077</v>
      </c>
      <c r="D328" s="526">
        <v>92.9</v>
      </c>
      <c r="E328" s="527">
        <v>0.28000000000000003</v>
      </c>
      <c r="F328" s="101">
        <f t="shared" si="80"/>
        <v>3.0139935414424113E-3</v>
      </c>
      <c r="G328" s="102">
        <f t="shared" si="89"/>
        <v>7.85E-2</v>
      </c>
      <c r="H328" s="102" t="str">
        <f t="shared" si="90"/>
        <v>NMF</v>
      </c>
      <c r="I328" s="102">
        <f t="shared" si="91"/>
        <v>8.5199999999999998E-2</v>
      </c>
      <c r="J328" s="528">
        <v>117.87</v>
      </c>
      <c r="K328" s="529">
        <f t="shared" si="81"/>
        <v>10.950123000000001</v>
      </c>
      <c r="L328" s="530">
        <f t="shared" si="92"/>
        <v>2.6864677662703811E-4</v>
      </c>
      <c r="M328" s="531">
        <f t="shared" si="82"/>
        <v>8.0969964968321503E-7</v>
      </c>
      <c r="N328" s="532">
        <f t="shared" si="83"/>
        <v>10.950123000000001</v>
      </c>
      <c r="O328" s="533">
        <f t="shared" si="93"/>
        <v>3.2708373325815183E-4</v>
      </c>
      <c r="P328" s="533">
        <f t="shared" si="84"/>
        <v>2.567607306076492E-5</v>
      </c>
      <c r="Q328" s="532" t="str">
        <f t="shared" si="85"/>
        <v>--</v>
      </c>
      <c r="R328" s="534" t="str">
        <f t="shared" si="94"/>
        <v>--</v>
      </c>
      <c r="S328" s="533" t="str">
        <f t="shared" si="86"/>
        <v>--</v>
      </c>
      <c r="T328" s="532">
        <f t="shared" si="87"/>
        <v>10.950123000000001</v>
      </c>
      <c r="U328" s="534">
        <f t="shared" si="95"/>
        <v>3.0541762224118706E-4</v>
      </c>
      <c r="V328" s="533">
        <f t="shared" si="88"/>
        <v>2.6021581414949138E-5</v>
      </c>
      <c r="W328" s="533"/>
      <c r="X328" s="535">
        <v>7.85E-2</v>
      </c>
      <c r="Y328" s="535">
        <v>-1.4999999999999999E-2</v>
      </c>
      <c r="Z328" s="535">
        <v>8.5199999999999998E-2</v>
      </c>
    </row>
    <row r="329" spans="1:26" ht="14.5">
      <c r="A329" s="509">
        <v>325</v>
      </c>
      <c r="B329" s="524" t="s">
        <v>1078</v>
      </c>
      <c r="C329" s="525" t="s">
        <v>1079</v>
      </c>
      <c r="D329" s="526">
        <v>236.62</v>
      </c>
      <c r="E329" s="527">
        <v>4.51</v>
      </c>
      <c r="F329" s="101">
        <f t="shared" si="80"/>
        <v>1.9060096357028145E-2</v>
      </c>
      <c r="G329" s="102">
        <f t="shared" si="89"/>
        <v>0.109</v>
      </c>
      <c r="H329" s="102">
        <f t="shared" si="90"/>
        <v>0.14000000000000001</v>
      </c>
      <c r="I329" s="102">
        <f t="shared" si="91"/>
        <v>0.1152</v>
      </c>
      <c r="J329" s="528">
        <v>107.452</v>
      </c>
      <c r="K329" s="529">
        <f t="shared" si="81"/>
        <v>25.425292239999997</v>
      </c>
      <c r="L329" s="530">
        <f t="shared" si="92"/>
        <v>6.237758977754354E-4</v>
      </c>
      <c r="M329" s="531">
        <f t="shared" si="82"/>
        <v>1.1889228716791536E-5</v>
      </c>
      <c r="N329" s="532">
        <f t="shared" si="83"/>
        <v>25.425292239999997</v>
      </c>
      <c r="O329" s="533">
        <f t="shared" si="93"/>
        <v>7.5946174349262707E-4</v>
      </c>
      <c r="P329" s="533">
        <f t="shared" si="84"/>
        <v>8.2781330040696344E-5</v>
      </c>
      <c r="Q329" s="532">
        <f t="shared" si="85"/>
        <v>25.425292239999997</v>
      </c>
      <c r="R329" s="534">
        <f t="shared" si="94"/>
        <v>7.6562975174863143E-4</v>
      </c>
      <c r="S329" s="533">
        <f t="shared" si="86"/>
        <v>1.0718816524480841E-4</v>
      </c>
      <c r="T329" s="532">
        <f t="shared" si="87"/>
        <v>25.425292239999997</v>
      </c>
      <c r="U329" s="534">
        <f t="shared" si="95"/>
        <v>7.0915480134132764E-4</v>
      </c>
      <c r="V329" s="533">
        <f t="shared" si="88"/>
        <v>8.1694633114520941E-5</v>
      </c>
      <c r="W329" s="533"/>
      <c r="X329" s="535">
        <v>0.109</v>
      </c>
      <c r="Y329" s="535">
        <v>0.14000000000000001</v>
      </c>
      <c r="Z329" s="535">
        <v>0.1152</v>
      </c>
    </row>
    <row r="330" spans="1:26" ht="14.5">
      <c r="A330" s="509">
        <v>326</v>
      </c>
      <c r="B330" s="524" t="s">
        <v>1080</v>
      </c>
      <c r="C330" s="525" t="s">
        <v>1081</v>
      </c>
      <c r="D330" s="526">
        <v>82.19</v>
      </c>
      <c r="E330" s="527">
        <v>2.44</v>
      </c>
      <c r="F330" s="101">
        <f t="shared" si="80"/>
        <v>2.9687309891714319E-2</v>
      </c>
      <c r="G330" s="102">
        <f t="shared" si="89"/>
        <v>4.163E-2</v>
      </c>
      <c r="H330" s="102">
        <f t="shared" si="90"/>
        <v>5.5E-2</v>
      </c>
      <c r="I330" s="102">
        <f t="shared" si="91"/>
        <v>7.8600000000000003E-2</v>
      </c>
      <c r="J330" s="528">
        <v>1136.4000000000001</v>
      </c>
      <c r="K330" s="529">
        <f t="shared" si="81"/>
        <v>93.400716000000003</v>
      </c>
      <c r="L330" s="530">
        <f t="shared" si="92"/>
        <v>2.2914629623847532E-3</v>
      </c>
      <c r="M330" s="531">
        <f t="shared" si="82"/>
        <v>6.802737106970188E-5</v>
      </c>
      <c r="N330" s="532">
        <f t="shared" si="83"/>
        <v>93.400716000000003</v>
      </c>
      <c r="O330" s="533">
        <f t="shared" si="93"/>
        <v>2.7899097460607879E-3</v>
      </c>
      <c r="P330" s="533">
        <f t="shared" si="84"/>
        <v>1.161439427285106E-4</v>
      </c>
      <c r="Q330" s="532">
        <f t="shared" si="85"/>
        <v>93.400716000000003</v>
      </c>
      <c r="R330" s="534">
        <f t="shared" si="94"/>
        <v>2.8125681439256658E-3</v>
      </c>
      <c r="S330" s="533">
        <f t="shared" si="86"/>
        <v>1.5469124791591161E-4</v>
      </c>
      <c r="T330" s="532">
        <f t="shared" si="87"/>
        <v>93.400716000000003</v>
      </c>
      <c r="U330" s="534">
        <f t="shared" si="95"/>
        <v>2.605105403505001E-3</v>
      </c>
      <c r="V330" s="533">
        <f t="shared" si="88"/>
        <v>2.047612847154931E-4</v>
      </c>
      <c r="W330" s="533"/>
      <c r="X330" s="535">
        <v>4.163E-2</v>
      </c>
      <c r="Y330" s="535">
        <v>5.5E-2</v>
      </c>
      <c r="Z330" s="535">
        <v>7.8600000000000003E-2</v>
      </c>
    </row>
    <row r="331" spans="1:26" ht="14.5">
      <c r="A331" s="509">
        <v>327</v>
      </c>
      <c r="B331" s="524" t="s">
        <v>1082</v>
      </c>
      <c r="C331" s="525" t="s">
        <v>1083</v>
      </c>
      <c r="D331" s="526">
        <v>84.37</v>
      </c>
      <c r="E331" s="527">
        <v>1.08</v>
      </c>
      <c r="F331" s="101">
        <f t="shared" si="80"/>
        <v>1.2800758563470427E-2</v>
      </c>
      <c r="G331" s="102" t="str">
        <f t="shared" si="89"/>
        <v>NMF</v>
      </c>
      <c r="H331" s="102">
        <f t="shared" si="90"/>
        <v>0.1</v>
      </c>
      <c r="I331" s="102" t="str">
        <f t="shared" si="91"/>
        <v>NMF</v>
      </c>
      <c r="J331" s="528">
        <v>1813.568</v>
      </c>
      <c r="K331" s="529">
        <f t="shared" si="81"/>
        <v>153.01073216</v>
      </c>
      <c r="L331" s="530">
        <f t="shared" si="92"/>
        <v>3.7539158221443786E-3</v>
      </c>
      <c r="M331" s="531">
        <f t="shared" si="82"/>
        <v>4.8052970106861785E-5</v>
      </c>
      <c r="N331" s="532" t="str">
        <f t="shared" si="83"/>
        <v>--</v>
      </c>
      <c r="O331" s="533" t="str">
        <f t="shared" si="93"/>
        <v>--</v>
      </c>
      <c r="P331" s="533" t="str">
        <f t="shared" si="84"/>
        <v>--</v>
      </c>
      <c r="Q331" s="532">
        <f t="shared" si="85"/>
        <v>153.01073216</v>
      </c>
      <c r="R331" s="534">
        <f t="shared" si="94"/>
        <v>4.6075996992566782E-3</v>
      </c>
      <c r="S331" s="533">
        <f t="shared" si="86"/>
        <v>4.6075996992566782E-4</v>
      </c>
      <c r="T331" s="532" t="str">
        <f t="shared" si="87"/>
        <v>--</v>
      </c>
      <c r="U331" s="534" t="str">
        <f t="shared" si="95"/>
        <v>--</v>
      </c>
      <c r="V331" s="533" t="str">
        <f t="shared" si="88"/>
        <v>--</v>
      </c>
      <c r="W331" s="533"/>
      <c r="X331" s="535">
        <v>0.22399999999999998</v>
      </c>
      <c r="Y331" s="535">
        <v>0.1</v>
      </c>
      <c r="Z331" s="535">
        <v>0.21840000000000001</v>
      </c>
    </row>
    <row r="332" spans="1:26" ht="14.5">
      <c r="A332" s="509">
        <v>328</v>
      </c>
      <c r="B332" s="524" t="s">
        <v>1084</v>
      </c>
      <c r="C332" s="525" t="s">
        <v>1085</v>
      </c>
      <c r="D332" s="526">
        <v>353.57</v>
      </c>
      <c r="E332" s="527">
        <v>3.16</v>
      </c>
      <c r="F332" s="101">
        <f t="shared" si="80"/>
        <v>8.9374098481205984E-3</v>
      </c>
      <c r="G332" s="102">
        <f t="shared" si="89"/>
        <v>8.9529999999999998E-2</v>
      </c>
      <c r="H332" s="102">
        <f t="shared" si="90"/>
        <v>0.11</v>
      </c>
      <c r="I332" s="102">
        <f t="shared" si="91"/>
        <v>9.3699999999999992E-2</v>
      </c>
      <c r="J332" s="528">
        <v>250.601</v>
      </c>
      <c r="K332" s="529">
        <f t="shared" si="81"/>
        <v>88.60499557</v>
      </c>
      <c r="L332" s="530">
        <f t="shared" si="92"/>
        <v>2.1738063081970394E-3</v>
      </c>
      <c r="M332" s="531">
        <f t="shared" si="82"/>
        <v>1.94281979067869E-5</v>
      </c>
      <c r="N332" s="532">
        <f t="shared" si="83"/>
        <v>88.60499557</v>
      </c>
      <c r="O332" s="533">
        <f t="shared" si="93"/>
        <v>2.6466600180068849E-3</v>
      </c>
      <c r="P332" s="533">
        <f t="shared" si="84"/>
        <v>2.3695547141215639E-4</v>
      </c>
      <c r="Q332" s="532">
        <f t="shared" si="85"/>
        <v>88.60499557</v>
      </c>
      <c r="R332" s="534">
        <f t="shared" si="94"/>
        <v>2.6681550057159813E-3</v>
      </c>
      <c r="S332" s="533">
        <f t="shared" si="86"/>
        <v>2.9349705062875795E-4</v>
      </c>
      <c r="T332" s="532">
        <f t="shared" si="87"/>
        <v>88.60499557</v>
      </c>
      <c r="U332" s="534">
        <f t="shared" si="95"/>
        <v>2.4713445744564064E-3</v>
      </c>
      <c r="V332" s="533">
        <f t="shared" si="88"/>
        <v>2.3156498662656524E-4</v>
      </c>
      <c r="W332" s="533"/>
      <c r="X332" s="535">
        <v>8.9529999999999998E-2</v>
      </c>
      <c r="Y332" s="535">
        <v>0.11</v>
      </c>
      <c r="Z332" s="535">
        <v>9.3699999999999992E-2</v>
      </c>
    </row>
    <row r="333" spans="1:26" ht="14.5">
      <c r="A333" s="509">
        <v>329</v>
      </c>
      <c r="B333" s="524" t="s">
        <v>1086</v>
      </c>
      <c r="C333" s="525" t="s">
        <v>439</v>
      </c>
      <c r="D333" s="526">
        <v>112.02</v>
      </c>
      <c r="E333" s="527">
        <v>4.4400000000000004</v>
      </c>
      <c r="F333" s="101">
        <f t="shared" si="80"/>
        <v>3.9635779325120517E-2</v>
      </c>
      <c r="G333" s="102">
        <f t="shared" si="89"/>
        <v>2.9700000000000001E-2</v>
      </c>
      <c r="H333" s="102">
        <f t="shared" si="90"/>
        <v>6.5000000000000002E-2</v>
      </c>
      <c r="I333" s="102">
        <f t="shared" si="91"/>
        <v>2.8799999999999999E-2</v>
      </c>
      <c r="J333" s="528">
        <v>106.417</v>
      </c>
      <c r="K333" s="529">
        <f t="shared" si="81"/>
        <v>11.920832339999999</v>
      </c>
      <c r="L333" s="530">
        <f t="shared" si="92"/>
        <v>2.9246184566624058E-4</v>
      </c>
      <c r="M333" s="531">
        <f t="shared" si="82"/>
        <v>1.1591953175844567E-5</v>
      </c>
      <c r="N333" s="532">
        <f t="shared" si="83"/>
        <v>11.920832339999999</v>
      </c>
      <c r="O333" s="533">
        <f t="shared" si="93"/>
        <v>3.5607913676510383E-4</v>
      </c>
      <c r="P333" s="533">
        <f t="shared" si="84"/>
        <v>1.0575550361923584E-5</v>
      </c>
      <c r="Q333" s="532">
        <f t="shared" si="85"/>
        <v>11.920832339999999</v>
      </c>
      <c r="R333" s="534">
        <f t="shared" si="94"/>
        <v>3.5897105209089451E-4</v>
      </c>
      <c r="S333" s="533">
        <f t="shared" si="86"/>
        <v>2.3333118385908144E-5</v>
      </c>
      <c r="T333" s="532">
        <f t="shared" si="87"/>
        <v>11.920832339999999</v>
      </c>
      <c r="U333" s="534">
        <f t="shared" si="95"/>
        <v>3.3249236272676072E-4</v>
      </c>
      <c r="V333" s="533">
        <f t="shared" si="88"/>
        <v>9.575780046530709E-6</v>
      </c>
      <c r="W333" s="533"/>
      <c r="X333" s="535">
        <v>2.9700000000000001E-2</v>
      </c>
      <c r="Y333" s="535">
        <v>6.5000000000000002E-2</v>
      </c>
      <c r="Z333" s="535">
        <v>2.8799999999999999E-2</v>
      </c>
    </row>
    <row r="334" spans="1:26" ht="14.5">
      <c r="A334" s="509">
        <v>330</v>
      </c>
      <c r="B334" s="524" t="s">
        <v>1087</v>
      </c>
      <c r="C334" s="525" t="s">
        <v>1088</v>
      </c>
      <c r="D334" s="526">
        <v>34.32</v>
      </c>
      <c r="E334" s="527">
        <v>1.1499999999999999</v>
      </c>
      <c r="F334" s="101">
        <f t="shared" si="80"/>
        <v>3.3508158508158505E-2</v>
      </c>
      <c r="G334" s="102">
        <f t="shared" si="89"/>
        <v>5.7999999999999996E-2</v>
      </c>
      <c r="H334" s="102">
        <f t="shared" si="90"/>
        <v>0.14000000000000001</v>
      </c>
      <c r="I334" s="102">
        <f t="shared" si="91"/>
        <v>1.2500000000000001E-2</v>
      </c>
      <c r="J334" s="528">
        <v>1360.162</v>
      </c>
      <c r="K334" s="529">
        <f t="shared" si="81"/>
        <v>46.68075984</v>
      </c>
      <c r="L334" s="530">
        <f t="shared" si="92"/>
        <v>1.145250666272597E-3</v>
      </c>
      <c r="M334" s="531">
        <f t="shared" si="82"/>
        <v>3.8375240857036319E-5</v>
      </c>
      <c r="N334" s="532">
        <f t="shared" si="83"/>
        <v>46.68075984</v>
      </c>
      <c r="O334" s="533">
        <f t="shared" si="93"/>
        <v>1.3943694696209718E-3</v>
      </c>
      <c r="P334" s="533">
        <f t="shared" si="84"/>
        <v>8.0873429238016356E-5</v>
      </c>
      <c r="Q334" s="532">
        <f t="shared" si="85"/>
        <v>46.68075984</v>
      </c>
      <c r="R334" s="534">
        <f t="shared" si="94"/>
        <v>1.4056939141690152E-3</v>
      </c>
      <c r="S334" s="533">
        <f t="shared" si="86"/>
        <v>1.9679714798366216E-4</v>
      </c>
      <c r="T334" s="532">
        <f t="shared" si="87"/>
        <v>46.68075984</v>
      </c>
      <c r="U334" s="534">
        <f t="shared" si="95"/>
        <v>1.3020060756162002E-3</v>
      </c>
      <c r="V334" s="533">
        <f t="shared" si="88"/>
        <v>1.6275075945202505E-5</v>
      </c>
      <c r="W334" s="533"/>
      <c r="X334" s="535">
        <v>5.7999999999999996E-2</v>
      </c>
      <c r="Y334" s="535">
        <v>0.14000000000000001</v>
      </c>
      <c r="Z334" s="535">
        <v>1.2500000000000001E-2</v>
      </c>
    </row>
    <row r="335" spans="1:26" ht="14.5">
      <c r="A335" s="509">
        <v>331</v>
      </c>
      <c r="B335" s="524" t="s">
        <v>1089</v>
      </c>
      <c r="C335" s="525" t="s">
        <v>1090</v>
      </c>
      <c r="D335" s="526">
        <v>316.95</v>
      </c>
      <c r="E335" s="527">
        <v>9.1999999999999993</v>
      </c>
      <c r="F335" s="101">
        <f t="shared" si="80"/>
        <v>2.9026660356523109E-2</v>
      </c>
      <c r="G335" s="102">
        <f t="shared" si="89"/>
        <v>3.5000000000000003E-2</v>
      </c>
      <c r="H335" s="102">
        <f t="shared" si="90"/>
        <v>4.4999999999999998E-2</v>
      </c>
      <c r="I335" s="102">
        <f t="shared" si="91"/>
        <v>7.4900000000000008E-2</v>
      </c>
      <c r="J335" s="528">
        <v>52.290999999999997</v>
      </c>
      <c r="K335" s="529">
        <f t="shared" si="81"/>
        <v>16.573632449999998</v>
      </c>
      <c r="L335" s="530">
        <f t="shared" si="92"/>
        <v>4.0661213894070225E-4</v>
      </c>
      <c r="M335" s="531">
        <f t="shared" si="82"/>
        <v>1.1802592453871149E-5</v>
      </c>
      <c r="N335" s="532">
        <f t="shared" si="83"/>
        <v>16.573632449999998</v>
      </c>
      <c r="O335" s="533">
        <f t="shared" si="93"/>
        <v>4.9505978840552278E-4</v>
      </c>
      <c r="P335" s="533">
        <f t="shared" si="84"/>
        <v>1.7327092594193298E-5</v>
      </c>
      <c r="Q335" s="532">
        <f t="shared" si="85"/>
        <v>16.573632449999998</v>
      </c>
      <c r="R335" s="534">
        <f t="shared" si="94"/>
        <v>4.9908044235980672E-4</v>
      </c>
      <c r="S335" s="533">
        <f t="shared" si="86"/>
        <v>2.2458619906191301E-5</v>
      </c>
      <c r="T335" s="532">
        <f t="shared" si="87"/>
        <v>16.573632449999998</v>
      </c>
      <c r="U335" s="534">
        <f t="shared" si="95"/>
        <v>4.6226690008672767E-4</v>
      </c>
      <c r="V335" s="533">
        <f t="shared" si="88"/>
        <v>3.4623790816495903E-5</v>
      </c>
      <c r="W335" s="533"/>
      <c r="X335" s="535">
        <v>3.5000000000000003E-2</v>
      </c>
      <c r="Y335" s="535">
        <v>4.4999999999999998E-2</v>
      </c>
      <c r="Z335" s="535">
        <v>7.4900000000000008E-2</v>
      </c>
    </row>
    <row r="336" spans="1:26" ht="14.5">
      <c r="A336" s="509">
        <v>332</v>
      </c>
      <c r="B336" s="524" t="s">
        <v>1091</v>
      </c>
      <c r="C336" s="525" t="s">
        <v>1092</v>
      </c>
      <c r="D336" s="526">
        <v>90.31</v>
      </c>
      <c r="E336" s="527">
        <v>2.96</v>
      </c>
      <c r="F336" s="101">
        <f t="shared" si="80"/>
        <v>3.2775993799136309E-2</v>
      </c>
      <c r="G336" s="102">
        <f t="shared" si="89"/>
        <v>7.5999999999999998E-2</v>
      </c>
      <c r="H336" s="102">
        <f t="shared" si="90"/>
        <v>6.5000000000000002E-2</v>
      </c>
      <c r="I336" s="102">
        <f t="shared" si="91"/>
        <v>6.5500000000000003E-2</v>
      </c>
      <c r="J336" s="528">
        <v>1099.0550000000001</v>
      </c>
      <c r="K336" s="529">
        <f t="shared" si="81"/>
        <v>99.255657050000011</v>
      </c>
      <c r="L336" s="530">
        <f t="shared" si="92"/>
        <v>2.4351061927323785E-3</v>
      </c>
      <c r="M336" s="531">
        <f t="shared" si="82"/>
        <v>7.9813025473234866E-5</v>
      </c>
      <c r="N336" s="532">
        <f t="shared" si="83"/>
        <v>99.255657050000011</v>
      </c>
      <c r="O336" s="533">
        <f t="shared" si="93"/>
        <v>2.9647987383251127E-3</v>
      </c>
      <c r="P336" s="533">
        <f t="shared" si="84"/>
        <v>2.2532470411270857E-4</v>
      </c>
      <c r="Q336" s="532">
        <f t="shared" si="85"/>
        <v>99.255657050000011</v>
      </c>
      <c r="R336" s="534">
        <f t="shared" si="94"/>
        <v>2.9888775062842233E-3</v>
      </c>
      <c r="S336" s="533">
        <f t="shared" si="86"/>
        <v>1.9427703790847453E-4</v>
      </c>
      <c r="T336" s="532">
        <f t="shared" si="87"/>
        <v>99.255657050000011</v>
      </c>
      <c r="U336" s="534">
        <f t="shared" si="95"/>
        <v>2.7684097037264069E-3</v>
      </c>
      <c r="V336" s="533">
        <f t="shared" si="88"/>
        <v>1.8133083559407966E-4</v>
      </c>
      <c r="W336" s="533"/>
      <c r="X336" s="535">
        <v>7.5999999999999998E-2</v>
      </c>
      <c r="Y336" s="535">
        <v>6.5000000000000002E-2</v>
      </c>
      <c r="Z336" s="535">
        <v>6.5500000000000003E-2</v>
      </c>
    </row>
    <row r="337" spans="1:26" ht="14.5">
      <c r="A337" s="509">
        <v>333</v>
      </c>
      <c r="B337" s="524" t="s">
        <v>1349</v>
      </c>
      <c r="C337" s="525" t="s">
        <v>1093</v>
      </c>
      <c r="D337" s="526">
        <v>163.01</v>
      </c>
      <c r="E337" s="527">
        <v>8.65</v>
      </c>
      <c r="F337" s="101">
        <f t="shared" si="80"/>
        <v>5.3064229188393354E-2</v>
      </c>
      <c r="G337" s="102" t="str">
        <f t="shared" si="89"/>
        <v>NMF</v>
      </c>
      <c r="H337" s="102">
        <f t="shared" si="90"/>
        <v>3.5000000000000003E-2</v>
      </c>
      <c r="I337" s="102">
        <f t="shared" si="91"/>
        <v>1.4800000000000001E-2</v>
      </c>
      <c r="J337" s="528">
        <v>326.25099999999998</v>
      </c>
      <c r="K337" s="529">
        <f t="shared" si="81"/>
        <v>53.182175509999993</v>
      </c>
      <c r="L337" s="530">
        <f t="shared" si="92"/>
        <v>1.3047542958900921E-3</v>
      </c>
      <c r="M337" s="531">
        <f t="shared" si="82"/>
        <v>6.9235780991652639E-5</v>
      </c>
      <c r="N337" s="532" t="str">
        <f t="shared" si="83"/>
        <v>--</v>
      </c>
      <c r="O337" s="533" t="str">
        <f t="shared" si="93"/>
        <v>--</v>
      </c>
      <c r="P337" s="533" t="str">
        <f t="shared" si="84"/>
        <v>--</v>
      </c>
      <c r="Q337" s="532">
        <f t="shared" si="85"/>
        <v>53.182175509999993</v>
      </c>
      <c r="R337" s="534">
        <f t="shared" si="94"/>
        <v>1.6014705140385613E-3</v>
      </c>
      <c r="S337" s="533">
        <f t="shared" si="86"/>
        <v>5.6051467991349648E-5</v>
      </c>
      <c r="T337" s="532">
        <f t="shared" si="87"/>
        <v>53.182175509999993</v>
      </c>
      <c r="U337" s="534">
        <f t="shared" si="95"/>
        <v>1.4833416565163411E-3</v>
      </c>
      <c r="V337" s="533">
        <f t="shared" si="88"/>
        <v>2.1953456516441848E-5</v>
      </c>
      <c r="W337" s="533"/>
      <c r="X337" s="535" t="s">
        <v>36</v>
      </c>
      <c r="Y337" s="535">
        <v>3.5000000000000003E-2</v>
      </c>
      <c r="Z337" s="535">
        <v>1.4800000000000001E-2</v>
      </c>
    </row>
    <row r="338" spans="1:26" ht="14.5">
      <c r="A338" s="509">
        <v>334</v>
      </c>
      <c r="B338" s="524" t="s">
        <v>1094</v>
      </c>
      <c r="C338" s="525" t="s">
        <v>1095</v>
      </c>
      <c r="D338" s="526">
        <v>507.61</v>
      </c>
      <c r="E338" s="527">
        <v>3.84</v>
      </c>
      <c r="F338" s="101">
        <f t="shared" si="80"/>
        <v>7.5648627883611432E-3</v>
      </c>
      <c r="G338" s="102">
        <f t="shared" si="89"/>
        <v>0.11720000000000001</v>
      </c>
      <c r="H338" s="102">
        <f t="shared" si="90"/>
        <v>0.08</v>
      </c>
      <c r="I338" s="102">
        <f t="shared" si="91"/>
        <v>0.11960000000000001</v>
      </c>
      <c r="J338" s="528">
        <v>306.7</v>
      </c>
      <c r="K338" s="529">
        <f t="shared" si="81"/>
        <v>155.683987</v>
      </c>
      <c r="L338" s="530">
        <f t="shared" si="92"/>
        <v>3.8195005919107665E-3</v>
      </c>
      <c r="M338" s="531">
        <f t="shared" si="82"/>
        <v>2.8893997897869117E-5</v>
      </c>
      <c r="N338" s="532">
        <f t="shared" si="83"/>
        <v>155.683987</v>
      </c>
      <c r="O338" s="533">
        <f t="shared" si="93"/>
        <v>4.6503312954999298E-3</v>
      </c>
      <c r="P338" s="533">
        <f t="shared" si="84"/>
        <v>5.4501882783259184E-4</v>
      </c>
      <c r="Q338" s="532">
        <f t="shared" si="85"/>
        <v>155.683987</v>
      </c>
      <c r="R338" s="534">
        <f t="shared" si="94"/>
        <v>4.688099204245259E-3</v>
      </c>
      <c r="S338" s="533">
        <f t="shared" si="86"/>
        <v>3.7504793633962074E-4</v>
      </c>
      <c r="T338" s="532">
        <f t="shared" si="87"/>
        <v>155.683987</v>
      </c>
      <c r="U338" s="534">
        <f t="shared" si="95"/>
        <v>4.3422921487336601E-3</v>
      </c>
      <c r="V338" s="533">
        <f t="shared" si="88"/>
        <v>5.1933814098854576E-4</v>
      </c>
      <c r="W338" s="533"/>
      <c r="X338" s="535">
        <v>0.11720000000000001</v>
      </c>
      <c r="Y338" s="535">
        <v>0.08</v>
      </c>
      <c r="Z338" s="535">
        <v>0.11960000000000001</v>
      </c>
    </row>
    <row r="339" spans="1:26" ht="14.5">
      <c r="A339" s="509">
        <v>335</v>
      </c>
      <c r="B339" s="524" t="s">
        <v>1096</v>
      </c>
      <c r="C339" s="525" t="s">
        <v>1097</v>
      </c>
      <c r="D339" s="526">
        <v>75.77</v>
      </c>
      <c r="E339" s="527">
        <v>2.58</v>
      </c>
      <c r="F339" s="101">
        <f t="shared" si="80"/>
        <v>3.4050415731819987E-2</v>
      </c>
      <c r="G339" s="102">
        <f t="shared" si="89"/>
        <v>0.06</v>
      </c>
      <c r="H339" s="102">
        <f t="shared" si="90"/>
        <v>5.5E-2</v>
      </c>
      <c r="I339" s="102">
        <f t="shared" si="91"/>
        <v>7.9399999999999998E-2</v>
      </c>
      <c r="J339" s="528">
        <v>651.93600000000004</v>
      </c>
      <c r="K339" s="529">
        <f t="shared" si="81"/>
        <v>49.397190719999998</v>
      </c>
      <c r="L339" s="530">
        <f t="shared" si="92"/>
        <v>1.2118947030420606E-3</v>
      </c>
      <c r="M339" s="531">
        <f t="shared" si="82"/>
        <v>4.1265518461772692E-5</v>
      </c>
      <c r="N339" s="532">
        <f t="shared" si="83"/>
        <v>49.397190719999998</v>
      </c>
      <c r="O339" s="533">
        <f t="shared" si="93"/>
        <v>1.4755101429602692E-3</v>
      </c>
      <c r="P339" s="533">
        <f t="shared" si="84"/>
        <v>8.8530608577616152E-5</v>
      </c>
      <c r="Q339" s="532">
        <f t="shared" si="85"/>
        <v>49.397190719999998</v>
      </c>
      <c r="R339" s="534">
        <f t="shared" si="94"/>
        <v>1.4874935757290394E-3</v>
      </c>
      <c r="S339" s="533">
        <f t="shared" si="86"/>
        <v>8.1812146665097163E-5</v>
      </c>
      <c r="T339" s="532">
        <f t="shared" si="87"/>
        <v>49.397190719999998</v>
      </c>
      <c r="U339" s="534">
        <f t="shared" si="95"/>
        <v>1.3777719697848901E-3</v>
      </c>
      <c r="V339" s="533">
        <f t="shared" si="88"/>
        <v>1.0939509440092027E-4</v>
      </c>
      <c r="W339" s="533"/>
      <c r="X339" s="535">
        <v>0.06</v>
      </c>
      <c r="Y339" s="535">
        <v>5.5E-2</v>
      </c>
      <c r="Z339" s="535">
        <v>7.9399999999999998E-2</v>
      </c>
    </row>
    <row r="340" spans="1:26" ht="14.5">
      <c r="A340" s="509">
        <v>336</v>
      </c>
      <c r="B340" s="524" t="s">
        <v>1098</v>
      </c>
      <c r="C340" s="525" t="s">
        <v>1099</v>
      </c>
      <c r="D340" s="526">
        <v>225.86</v>
      </c>
      <c r="E340" s="527">
        <v>2.2799999999999998</v>
      </c>
      <c r="F340" s="101">
        <f t="shared" si="80"/>
        <v>1.0094748959532452E-2</v>
      </c>
      <c r="G340" s="102" t="str">
        <f t="shared" si="89"/>
        <v>NMF</v>
      </c>
      <c r="H340" s="102">
        <f t="shared" si="90"/>
        <v>0.05</v>
      </c>
      <c r="I340" s="102" t="str">
        <f t="shared" si="91"/>
        <v>NMF</v>
      </c>
      <c r="J340" s="528">
        <v>98.251000000000005</v>
      </c>
      <c r="K340" s="529">
        <f t="shared" si="81"/>
        <v>22.19097086</v>
      </c>
      <c r="L340" s="530">
        <f t="shared" si="92"/>
        <v>5.444261029545998E-4</v>
      </c>
      <c r="M340" s="531">
        <f t="shared" si="82"/>
        <v>5.4958448363432537E-6</v>
      </c>
      <c r="N340" s="532" t="str">
        <f t="shared" si="83"/>
        <v>--</v>
      </c>
      <c r="O340" s="533" t="str">
        <f t="shared" si="93"/>
        <v>--</v>
      </c>
      <c r="P340" s="533" t="str">
        <f t="shared" si="84"/>
        <v>--</v>
      </c>
      <c r="Q340" s="532">
        <f t="shared" si="85"/>
        <v>22.19097086</v>
      </c>
      <c r="R340" s="534">
        <f t="shared" si="94"/>
        <v>6.6823489579693085E-4</v>
      </c>
      <c r="S340" s="533">
        <f t="shared" si="86"/>
        <v>3.3411744789846545E-5</v>
      </c>
      <c r="T340" s="532" t="str">
        <f t="shared" si="87"/>
        <v>--</v>
      </c>
      <c r="U340" s="534" t="str">
        <f t="shared" si="95"/>
        <v>--</v>
      </c>
      <c r="V340" s="533" t="str">
        <f t="shared" si="88"/>
        <v>--</v>
      </c>
      <c r="W340" s="533"/>
      <c r="X340" s="535" t="s">
        <v>36</v>
      </c>
      <c r="Y340" s="535">
        <v>0.05</v>
      </c>
      <c r="Z340" s="535" t="s">
        <v>36</v>
      </c>
    </row>
    <row r="341" spans="1:26" ht="14.5">
      <c r="A341" s="509">
        <v>337</v>
      </c>
      <c r="B341" s="524" t="s">
        <v>1100</v>
      </c>
      <c r="C341" s="525" t="s">
        <v>1101</v>
      </c>
      <c r="D341" s="526">
        <v>129.63</v>
      </c>
      <c r="E341" s="527">
        <v>2</v>
      </c>
      <c r="F341" s="101">
        <f t="shared" si="80"/>
        <v>1.5428527347064723E-2</v>
      </c>
      <c r="G341" s="102" t="str">
        <f t="shared" si="89"/>
        <v>NMF</v>
      </c>
      <c r="H341" s="102">
        <f t="shared" si="90"/>
        <v>5.0000000000000001E-3</v>
      </c>
      <c r="I341" s="102">
        <f t="shared" si="91"/>
        <v>0.14000000000000001</v>
      </c>
      <c r="J341" s="528">
        <v>149.89699999999999</v>
      </c>
      <c r="K341" s="529">
        <f t="shared" si="81"/>
        <v>19.431148109999999</v>
      </c>
      <c r="L341" s="530">
        <f t="shared" si="92"/>
        <v>4.7671750407863569E-4</v>
      </c>
      <c r="M341" s="531">
        <f t="shared" si="82"/>
        <v>7.3550490485016696E-6</v>
      </c>
      <c r="N341" s="532" t="str">
        <f t="shared" si="83"/>
        <v>--</v>
      </c>
      <c r="O341" s="533" t="str">
        <f t="shared" si="93"/>
        <v>--</v>
      </c>
      <c r="P341" s="533" t="str">
        <f t="shared" si="84"/>
        <v>--</v>
      </c>
      <c r="Q341" s="532">
        <f t="shared" si="85"/>
        <v>19.431148109999999</v>
      </c>
      <c r="R341" s="534">
        <f t="shared" si="94"/>
        <v>5.8512857839427483E-4</v>
      </c>
      <c r="S341" s="533">
        <f t="shared" si="86"/>
        <v>2.9256428919713743E-6</v>
      </c>
      <c r="T341" s="532">
        <f t="shared" si="87"/>
        <v>19.431148109999999</v>
      </c>
      <c r="U341" s="534">
        <f t="shared" si="95"/>
        <v>5.4196788960019307E-4</v>
      </c>
      <c r="V341" s="533">
        <f t="shared" si="88"/>
        <v>7.5875504544027042E-5</v>
      </c>
      <c r="W341" s="533"/>
      <c r="X341" s="535" t="s">
        <v>36</v>
      </c>
      <c r="Y341" s="535">
        <v>5.0000000000000001E-3</v>
      </c>
      <c r="Z341" s="535">
        <v>0.14000000000000001</v>
      </c>
    </row>
    <row r="342" spans="1:26" ht="14.5">
      <c r="A342" s="509">
        <v>338</v>
      </c>
      <c r="B342" s="524" t="s">
        <v>1102</v>
      </c>
      <c r="C342" s="525" t="s">
        <v>1103</v>
      </c>
      <c r="D342" s="526">
        <v>94.06</v>
      </c>
      <c r="E342" s="527">
        <v>3.13</v>
      </c>
      <c r="F342" s="101">
        <f t="shared" si="80"/>
        <v>3.327663193706145E-2</v>
      </c>
      <c r="G342" s="102">
        <f t="shared" si="89"/>
        <v>7.6200000000000004E-2</v>
      </c>
      <c r="H342" s="102">
        <f t="shared" si="90"/>
        <v>7.4999999999999997E-2</v>
      </c>
      <c r="I342" s="102">
        <f t="shared" si="91"/>
        <v>7.7600000000000002E-2</v>
      </c>
      <c r="J342" s="528">
        <v>285.18200000000002</v>
      </c>
      <c r="K342" s="529">
        <f t="shared" si="81"/>
        <v>26.824218920000003</v>
      </c>
      <c r="L342" s="530">
        <f t="shared" si="92"/>
        <v>6.5809671255711091E-4</v>
      </c>
      <c r="M342" s="531">
        <f t="shared" si="82"/>
        <v>2.1899242082753107E-5</v>
      </c>
      <c r="N342" s="532">
        <f t="shared" si="83"/>
        <v>26.824218920000003</v>
      </c>
      <c r="O342" s="533">
        <f t="shared" si="93"/>
        <v>8.0124813813393242E-4</v>
      </c>
      <c r="P342" s="533">
        <f t="shared" si="84"/>
        <v>6.1055108125805649E-5</v>
      </c>
      <c r="Q342" s="532">
        <f t="shared" si="85"/>
        <v>26.824218920000003</v>
      </c>
      <c r="R342" s="534">
        <f t="shared" si="94"/>
        <v>8.0775551677869509E-4</v>
      </c>
      <c r="S342" s="533">
        <f t="shared" si="86"/>
        <v>6.0581663758402132E-5</v>
      </c>
      <c r="T342" s="532">
        <f t="shared" si="87"/>
        <v>26.824218920000003</v>
      </c>
      <c r="U342" s="534">
        <f t="shared" si="95"/>
        <v>7.4817325440302933E-4</v>
      </c>
      <c r="V342" s="533">
        <f t="shared" si="88"/>
        <v>5.8058244541675076E-5</v>
      </c>
      <c r="W342" s="533"/>
      <c r="X342" s="535">
        <v>7.6200000000000004E-2</v>
      </c>
      <c r="Y342" s="535">
        <v>7.4999999999999997E-2</v>
      </c>
      <c r="Z342" s="535">
        <v>7.7600000000000002E-2</v>
      </c>
    </row>
    <row r="343" spans="1:26" ht="14.5">
      <c r="A343" s="509">
        <v>339</v>
      </c>
      <c r="B343" s="524" t="s">
        <v>1104</v>
      </c>
      <c r="C343" s="525" t="s">
        <v>1105</v>
      </c>
      <c r="D343" s="526">
        <v>96.3</v>
      </c>
      <c r="E343" s="527">
        <v>2.88</v>
      </c>
      <c r="F343" s="101">
        <f t="shared" si="80"/>
        <v>2.9906542056074768E-2</v>
      </c>
      <c r="G343" s="102" t="str">
        <f t="shared" si="89"/>
        <v>NMF</v>
      </c>
      <c r="H343" s="102" t="str">
        <f t="shared" si="90"/>
        <v>NMF</v>
      </c>
      <c r="I343" s="102" t="str">
        <f t="shared" si="91"/>
        <v>NMF</v>
      </c>
      <c r="J343" s="528">
        <v>212.21700000000001</v>
      </c>
      <c r="K343" s="529">
        <f t="shared" si="81"/>
        <v>20.4364971</v>
      </c>
      <c r="L343" s="530">
        <f t="shared" si="92"/>
        <v>5.0138241108915499E-4</v>
      </c>
      <c r="M343" s="531">
        <f t="shared" si="82"/>
        <v>1.4994614163413982E-5</v>
      </c>
      <c r="N343" s="532" t="str">
        <f t="shared" si="83"/>
        <v>--</v>
      </c>
      <c r="O343" s="533" t="str">
        <f t="shared" si="93"/>
        <v>--</v>
      </c>
      <c r="P343" s="533" t="str">
        <f t="shared" si="84"/>
        <v>--</v>
      </c>
      <c r="Q343" s="532" t="str">
        <f t="shared" si="85"/>
        <v>--</v>
      </c>
      <c r="R343" s="534" t="str">
        <f t="shared" si="94"/>
        <v>--</v>
      </c>
      <c r="S343" s="533" t="str">
        <f t="shared" si="86"/>
        <v>--</v>
      </c>
      <c r="T343" s="532" t="str">
        <f t="shared" si="87"/>
        <v>--</v>
      </c>
      <c r="U343" s="534" t="str">
        <f t="shared" si="95"/>
        <v>--</v>
      </c>
      <c r="V343" s="533" t="str">
        <f t="shared" si="88"/>
        <v>--</v>
      </c>
      <c r="W343" s="533"/>
      <c r="X343" s="535">
        <v>0.95900000000000007</v>
      </c>
      <c r="Y343" s="535">
        <v>0.22500000000000001</v>
      </c>
      <c r="Z343" s="535" t="s">
        <v>36</v>
      </c>
    </row>
    <row r="344" spans="1:26" ht="14.5">
      <c r="A344" s="509">
        <v>340</v>
      </c>
      <c r="B344" s="524" t="s">
        <v>1106</v>
      </c>
      <c r="C344" s="525" t="s">
        <v>1107</v>
      </c>
      <c r="D344" s="526">
        <v>191.39</v>
      </c>
      <c r="E344" s="527">
        <v>4.3099999999999996</v>
      </c>
      <c r="F344" s="101">
        <f t="shared" si="80"/>
        <v>2.251946287684832E-2</v>
      </c>
      <c r="G344" s="102">
        <f t="shared" si="89"/>
        <v>3.7229999999999999E-2</v>
      </c>
      <c r="H344" s="102">
        <f t="shared" si="90"/>
        <v>6.5000000000000002E-2</v>
      </c>
      <c r="I344" s="102">
        <f t="shared" si="91"/>
        <v>1.66E-2</v>
      </c>
      <c r="J344" s="528">
        <v>178.02</v>
      </c>
      <c r="K344" s="529">
        <f t="shared" si="81"/>
        <v>34.071247799999995</v>
      </c>
      <c r="L344" s="530">
        <f t="shared" si="92"/>
        <v>8.3589297555206098E-4</v>
      </c>
      <c r="M344" s="531">
        <f t="shared" si="82"/>
        <v>1.8823860831962918E-5</v>
      </c>
      <c r="N344" s="532">
        <f t="shared" si="83"/>
        <v>34.071247799999995</v>
      </c>
      <c r="O344" s="533">
        <f t="shared" si="93"/>
        <v>1.0177192463671494E-3</v>
      </c>
      <c r="P344" s="533">
        <f t="shared" si="84"/>
        <v>3.7889687542248973E-5</v>
      </c>
      <c r="Q344" s="532">
        <f t="shared" si="85"/>
        <v>34.071247799999995</v>
      </c>
      <c r="R344" s="534">
        <f t="shared" si="94"/>
        <v>1.0259847064349849E-3</v>
      </c>
      <c r="S344" s="533">
        <f t="shared" si="86"/>
        <v>6.668900591827402E-5</v>
      </c>
      <c r="T344" s="532">
        <f t="shared" si="87"/>
        <v>34.071247799999995</v>
      </c>
      <c r="U344" s="534">
        <f t="shared" si="95"/>
        <v>9.5030526048577469E-4</v>
      </c>
      <c r="V344" s="533">
        <f t="shared" si="88"/>
        <v>1.5775067324063859E-5</v>
      </c>
      <c r="W344" s="533"/>
      <c r="X344" s="535">
        <v>3.7229999999999999E-2</v>
      </c>
      <c r="Y344" s="535">
        <v>6.5000000000000002E-2</v>
      </c>
      <c r="Z344" s="535">
        <v>1.66E-2</v>
      </c>
    </row>
    <row r="345" spans="1:26" ht="14.5">
      <c r="A345" s="509">
        <v>341</v>
      </c>
      <c r="B345" s="524" t="s">
        <v>1350</v>
      </c>
      <c r="C345" s="525" t="s">
        <v>1351</v>
      </c>
      <c r="D345" s="526">
        <v>41.7</v>
      </c>
      <c r="E345" s="527">
        <v>1.62</v>
      </c>
      <c r="F345" s="101">
        <f t="shared" si="80"/>
        <v>3.884892086330935E-2</v>
      </c>
      <c r="G345" s="102" t="str">
        <f t="shared" si="89"/>
        <v>NMF</v>
      </c>
      <c r="H345" s="102" t="str">
        <f t="shared" si="90"/>
        <v>NMF</v>
      </c>
      <c r="I345" s="102" t="str">
        <f t="shared" si="91"/>
        <v>NMF</v>
      </c>
      <c r="J345" s="528">
        <v>521.99699999999996</v>
      </c>
      <c r="K345" s="529">
        <f t="shared" si="81"/>
        <v>21.7672749</v>
      </c>
      <c r="L345" s="530">
        <f t="shared" si="92"/>
        <v>5.3403128328692129E-4</v>
      </c>
      <c r="M345" s="531">
        <f t="shared" si="82"/>
        <v>2.0746539062945141E-5</v>
      </c>
      <c r="N345" s="532" t="str">
        <f t="shared" si="83"/>
        <v>--</v>
      </c>
      <c r="O345" s="533" t="str">
        <f t="shared" si="93"/>
        <v>--</v>
      </c>
      <c r="P345" s="533" t="str">
        <f t="shared" si="84"/>
        <v>--</v>
      </c>
      <c r="Q345" s="532" t="str">
        <f t="shared" si="85"/>
        <v>--</v>
      </c>
      <c r="R345" s="534" t="str">
        <f t="shared" si="94"/>
        <v>--</v>
      </c>
      <c r="S345" s="533" t="str">
        <f t="shared" si="86"/>
        <v>--</v>
      </c>
      <c r="T345" s="532" t="str">
        <f t="shared" si="87"/>
        <v>--</v>
      </c>
      <c r="U345" s="534" t="str">
        <f t="shared" si="95"/>
        <v>--</v>
      </c>
      <c r="V345" s="533" t="str">
        <f t="shared" si="88"/>
        <v>--</v>
      </c>
      <c r="W345" s="533"/>
      <c r="X345" s="535" t="s">
        <v>36</v>
      </c>
      <c r="Y345" s="535" t="s">
        <v>36</v>
      </c>
      <c r="Z345" s="535" t="s">
        <v>36</v>
      </c>
    </row>
    <row r="346" spans="1:26" ht="14.5">
      <c r="A346" s="509">
        <v>342</v>
      </c>
      <c r="B346" s="524" t="s">
        <v>1108</v>
      </c>
      <c r="C346" s="525" t="s">
        <v>1109</v>
      </c>
      <c r="D346" s="526">
        <v>61.85</v>
      </c>
      <c r="E346" s="527">
        <v>3.3</v>
      </c>
      <c r="F346" s="101">
        <f t="shared" si="80"/>
        <v>5.3354890864995952E-2</v>
      </c>
      <c r="G346" s="102">
        <f t="shared" si="89"/>
        <v>0.13</v>
      </c>
      <c r="H346" s="102">
        <f t="shared" si="90"/>
        <v>9.5000000000000001E-2</v>
      </c>
      <c r="I346" s="102">
        <f t="shared" si="91"/>
        <v>8.6899999999999991E-2</v>
      </c>
      <c r="J346" s="528">
        <v>154.71299999999999</v>
      </c>
      <c r="K346" s="529">
        <f t="shared" si="81"/>
        <v>9.5689990500000004</v>
      </c>
      <c r="L346" s="530">
        <f t="shared" si="92"/>
        <v>2.3476272826612903E-4</v>
      </c>
      <c r="M346" s="531">
        <f t="shared" si="82"/>
        <v>1.2525739745808015E-5</v>
      </c>
      <c r="N346" s="532">
        <f t="shared" si="83"/>
        <v>9.5689990500000004</v>
      </c>
      <c r="O346" s="533">
        <f t="shared" si="93"/>
        <v>2.8582911194857886E-4</v>
      </c>
      <c r="P346" s="533">
        <f t="shared" si="84"/>
        <v>3.7157784553315255E-5</v>
      </c>
      <c r="Q346" s="532">
        <f t="shared" si="85"/>
        <v>9.5689990500000004</v>
      </c>
      <c r="R346" s="534">
        <f t="shared" si="94"/>
        <v>2.881504880250057E-4</v>
      </c>
      <c r="S346" s="533">
        <f t="shared" si="86"/>
        <v>2.737429636237554E-5</v>
      </c>
      <c r="T346" s="532">
        <f t="shared" si="87"/>
        <v>9.5689990500000004</v>
      </c>
      <c r="U346" s="534">
        <f t="shared" si="95"/>
        <v>2.6689571770830133E-4</v>
      </c>
      <c r="V346" s="533">
        <f t="shared" si="88"/>
        <v>2.3193237868851382E-5</v>
      </c>
      <c r="W346" s="533"/>
      <c r="X346" s="535">
        <v>0.13</v>
      </c>
      <c r="Y346" s="535">
        <v>9.5000000000000001E-2</v>
      </c>
      <c r="Z346" s="535">
        <v>8.6899999999999991E-2</v>
      </c>
    </row>
    <row r="347" spans="1:26" ht="14.5">
      <c r="A347" s="509">
        <v>343</v>
      </c>
      <c r="B347" s="524" t="s">
        <v>1110</v>
      </c>
      <c r="C347" s="525" t="s">
        <v>1111</v>
      </c>
      <c r="D347" s="526">
        <v>67.290000000000006</v>
      </c>
      <c r="E347" s="527">
        <v>2.86</v>
      </c>
      <c r="F347" s="101">
        <f t="shared" si="80"/>
        <v>4.2502600683608255E-2</v>
      </c>
      <c r="G347" s="102" t="str">
        <f t="shared" si="89"/>
        <v>NMF</v>
      </c>
      <c r="H347" s="102" t="str">
        <f t="shared" si="90"/>
        <v>NMF</v>
      </c>
      <c r="I347" s="102">
        <f t="shared" si="91"/>
        <v>0.1018</v>
      </c>
      <c r="J347" s="528">
        <v>153.57499999999999</v>
      </c>
      <c r="K347" s="529">
        <f t="shared" si="81"/>
        <v>10.33406175</v>
      </c>
      <c r="L347" s="530">
        <f t="shared" si="92"/>
        <v>2.5353252914166061E-4</v>
      </c>
      <c r="M347" s="531">
        <f t="shared" si="82"/>
        <v>1.0775791846413275E-5</v>
      </c>
      <c r="N347" s="532" t="str">
        <f t="shared" si="83"/>
        <v>--</v>
      </c>
      <c r="O347" s="533" t="str">
        <f t="shared" si="93"/>
        <v>--</v>
      </c>
      <c r="P347" s="533" t="str">
        <f t="shared" si="84"/>
        <v>--</v>
      </c>
      <c r="Q347" s="532" t="str">
        <f t="shared" si="85"/>
        <v>--</v>
      </c>
      <c r="R347" s="534" t="str">
        <f t="shared" si="94"/>
        <v>--</v>
      </c>
      <c r="S347" s="533" t="str">
        <f t="shared" si="86"/>
        <v>--</v>
      </c>
      <c r="T347" s="532">
        <f t="shared" si="87"/>
        <v>10.33406175</v>
      </c>
      <c r="U347" s="534">
        <f t="shared" si="95"/>
        <v>2.8823462236712778E-4</v>
      </c>
      <c r="V347" s="533">
        <f t="shared" si="88"/>
        <v>2.9342284556973607E-5</v>
      </c>
      <c r="W347" s="533"/>
      <c r="X347" s="535" t="s">
        <v>36</v>
      </c>
      <c r="Y347" s="535">
        <v>-0.04</v>
      </c>
      <c r="Z347" s="535">
        <v>0.1018</v>
      </c>
    </row>
    <row r="348" spans="1:26" ht="14.5">
      <c r="A348" s="509">
        <v>344</v>
      </c>
      <c r="B348" s="524" t="s">
        <v>1112</v>
      </c>
      <c r="C348" s="525" t="s">
        <v>1113</v>
      </c>
      <c r="D348" s="526">
        <v>55.46</v>
      </c>
      <c r="E348" s="527">
        <v>1.2</v>
      </c>
      <c r="F348" s="101">
        <f t="shared" si="80"/>
        <v>2.1637216011539846E-2</v>
      </c>
      <c r="G348" s="102">
        <f t="shared" si="89"/>
        <v>0.1215</v>
      </c>
      <c r="H348" s="102">
        <f t="shared" si="90"/>
        <v>4.4999999999999998E-2</v>
      </c>
      <c r="I348" s="102">
        <f t="shared" si="91"/>
        <v>0.1245</v>
      </c>
      <c r="J348" s="528">
        <v>380.65699999999998</v>
      </c>
      <c r="K348" s="529">
        <f t="shared" si="81"/>
        <v>21.11123722</v>
      </c>
      <c r="L348" s="530">
        <f t="shared" si="92"/>
        <v>5.1793626699551704E-4</v>
      </c>
      <c r="M348" s="531">
        <f t="shared" si="82"/>
        <v>1.1206698889192577E-5</v>
      </c>
      <c r="N348" s="532">
        <f t="shared" si="83"/>
        <v>21.11123722</v>
      </c>
      <c r="O348" s="533">
        <f t="shared" si="93"/>
        <v>6.3059951779683625E-4</v>
      </c>
      <c r="P348" s="533">
        <f t="shared" si="84"/>
        <v>7.6617841412315597E-5</v>
      </c>
      <c r="Q348" s="532">
        <f t="shared" si="85"/>
        <v>21.11123722</v>
      </c>
      <c r="R348" s="534">
        <f t="shared" si="94"/>
        <v>6.3572096474966882E-4</v>
      </c>
      <c r="S348" s="533">
        <f t="shared" si="86"/>
        <v>2.8607443413735097E-5</v>
      </c>
      <c r="T348" s="532">
        <f t="shared" si="87"/>
        <v>21.11123722</v>
      </c>
      <c r="U348" s="534">
        <f t="shared" si="95"/>
        <v>5.888284427765832E-4</v>
      </c>
      <c r="V348" s="533">
        <f t="shared" si="88"/>
        <v>7.330914112568461E-5</v>
      </c>
      <c r="W348" s="533"/>
      <c r="X348" s="535">
        <v>0.1215</v>
      </c>
      <c r="Y348" s="535">
        <v>4.4999999999999998E-2</v>
      </c>
      <c r="Z348" s="535">
        <v>0.1245</v>
      </c>
    </row>
    <row r="349" spans="1:26" ht="14.5">
      <c r="A349" s="509">
        <v>345</v>
      </c>
      <c r="B349" s="524" t="s">
        <v>1114</v>
      </c>
      <c r="C349" s="525" t="s">
        <v>1115</v>
      </c>
      <c r="D349" s="526">
        <v>382.46</v>
      </c>
      <c r="E349" s="527">
        <v>3.42</v>
      </c>
      <c r="F349" s="101">
        <f t="shared" si="80"/>
        <v>8.9421115933692417E-3</v>
      </c>
      <c r="G349" s="102">
        <f t="shared" si="89"/>
        <v>9.845000000000001E-2</v>
      </c>
      <c r="H349" s="102">
        <f t="shared" si="90"/>
        <v>0.105</v>
      </c>
      <c r="I349" s="102">
        <f t="shared" si="91"/>
        <v>9.9299999999999999E-2</v>
      </c>
      <c r="J349" s="528">
        <v>382.16500000000002</v>
      </c>
      <c r="K349" s="529">
        <f t="shared" si="81"/>
        <v>146.1628259</v>
      </c>
      <c r="L349" s="530">
        <f t="shared" si="92"/>
        <v>3.5859115044400832E-3</v>
      </c>
      <c r="M349" s="531">
        <f t="shared" si="82"/>
        <v>3.2065620836649809E-5</v>
      </c>
      <c r="N349" s="532">
        <f t="shared" si="83"/>
        <v>146.1628259</v>
      </c>
      <c r="O349" s="533">
        <f t="shared" si="93"/>
        <v>4.3659311186671863E-3</v>
      </c>
      <c r="P349" s="533">
        <f t="shared" si="84"/>
        <v>4.2982591863278453E-4</v>
      </c>
      <c r="Q349" s="532">
        <f t="shared" si="85"/>
        <v>146.1628259</v>
      </c>
      <c r="R349" s="534">
        <f t="shared" si="94"/>
        <v>4.40138925650734E-3</v>
      </c>
      <c r="S349" s="533">
        <f t="shared" si="86"/>
        <v>4.6214587193327066E-4</v>
      </c>
      <c r="T349" s="532">
        <f t="shared" si="87"/>
        <v>146.1628259</v>
      </c>
      <c r="U349" s="534">
        <f t="shared" si="95"/>
        <v>4.0767307131098513E-3</v>
      </c>
      <c r="V349" s="533">
        <f t="shared" si="88"/>
        <v>4.0481935981180822E-4</v>
      </c>
      <c r="W349" s="533"/>
      <c r="X349" s="535">
        <v>9.845000000000001E-2</v>
      </c>
      <c r="Y349" s="535">
        <v>0.105</v>
      </c>
      <c r="Z349" s="535">
        <v>9.9299999999999999E-2</v>
      </c>
    </row>
    <row r="350" spans="1:26" ht="14.5">
      <c r="A350" s="509">
        <v>346</v>
      </c>
      <c r="B350" s="524" t="s">
        <v>1116</v>
      </c>
      <c r="C350" s="525" t="s">
        <v>1117</v>
      </c>
      <c r="D350" s="526">
        <v>71.599999999999994</v>
      </c>
      <c r="E350" s="527">
        <v>2.1</v>
      </c>
      <c r="F350" s="101">
        <f t="shared" si="80"/>
        <v>2.932960893854749E-2</v>
      </c>
      <c r="G350" s="102">
        <f t="shared" si="89"/>
        <v>5.4000000000000006E-2</v>
      </c>
      <c r="H350" s="102">
        <f t="shared" si="90"/>
        <v>8.5000000000000006E-2</v>
      </c>
      <c r="I350" s="102">
        <f t="shared" si="91"/>
        <v>7.0599999999999996E-2</v>
      </c>
      <c r="J350" s="528">
        <v>484.75200000000001</v>
      </c>
      <c r="K350" s="529">
        <f t="shared" si="81"/>
        <v>34.708243199999998</v>
      </c>
      <c r="L350" s="530">
        <f t="shared" si="92"/>
        <v>8.5152081470384511E-4</v>
      </c>
      <c r="M350" s="531">
        <f t="shared" si="82"/>
        <v>2.4974772498297137E-5</v>
      </c>
      <c r="N350" s="532">
        <f t="shared" si="83"/>
        <v>34.708243199999998</v>
      </c>
      <c r="O350" s="533">
        <f t="shared" si="93"/>
        <v>1.0367465060153078E-3</v>
      </c>
      <c r="P350" s="533">
        <f t="shared" si="84"/>
        <v>5.5984311324826627E-5</v>
      </c>
      <c r="Q350" s="532">
        <f t="shared" si="85"/>
        <v>34.708243199999998</v>
      </c>
      <c r="R350" s="534">
        <f t="shared" si="94"/>
        <v>1.0451664969671603E-3</v>
      </c>
      <c r="S350" s="533">
        <f t="shared" si="86"/>
        <v>8.8839152242208634E-5</v>
      </c>
      <c r="T350" s="532">
        <f t="shared" si="87"/>
        <v>34.708243199999998</v>
      </c>
      <c r="U350" s="534">
        <f t="shared" si="95"/>
        <v>9.6807214953775842E-4</v>
      </c>
      <c r="V350" s="533">
        <f t="shared" si="88"/>
        <v>6.8345893757365734E-5</v>
      </c>
      <c r="W350" s="533"/>
      <c r="X350" s="535">
        <v>5.4000000000000006E-2</v>
      </c>
      <c r="Y350" s="535">
        <v>8.5000000000000006E-2</v>
      </c>
      <c r="Z350" s="535">
        <v>7.0599999999999996E-2</v>
      </c>
    </row>
    <row r="351" spans="1:26" ht="14.5">
      <c r="A351" s="509">
        <v>347</v>
      </c>
      <c r="B351" s="524" t="s">
        <v>1118</v>
      </c>
      <c r="C351" s="525" t="s">
        <v>1119</v>
      </c>
      <c r="D351" s="526">
        <v>27.47</v>
      </c>
      <c r="E351" s="527">
        <v>1.1100000000000001</v>
      </c>
      <c r="F351" s="101">
        <f t="shared" si="80"/>
        <v>4.0407717510010925E-2</v>
      </c>
      <c r="G351" s="102">
        <f t="shared" si="89"/>
        <v>1.0500000000000001E-2</v>
      </c>
      <c r="H351" s="102">
        <f t="shared" si="90"/>
        <v>6.5000000000000002E-2</v>
      </c>
      <c r="I351" s="102">
        <f t="shared" si="91"/>
        <v>3.4700000000000002E-2</v>
      </c>
      <c r="J351" s="528">
        <v>7195.6019999999999</v>
      </c>
      <c r="K351" s="529">
        <f t="shared" si="81"/>
        <v>197.66318693999997</v>
      </c>
      <c r="L351" s="530">
        <f t="shared" si="92"/>
        <v>4.8494047079890006E-3</v>
      </c>
      <c r="M351" s="531">
        <f t="shared" si="82"/>
        <v>1.9595337553213657E-4</v>
      </c>
      <c r="N351" s="532">
        <f t="shared" si="83"/>
        <v>197.66318693999997</v>
      </c>
      <c r="O351" s="533">
        <f t="shared" si="93"/>
        <v>5.90426364270421E-3</v>
      </c>
      <c r="P351" s="533">
        <f t="shared" si="84"/>
        <v>6.1994768248394211E-5</v>
      </c>
      <c r="Q351" s="532">
        <f t="shared" si="85"/>
        <v>197.66318693999997</v>
      </c>
      <c r="R351" s="534">
        <f t="shared" si="94"/>
        <v>5.9522154285655323E-3</v>
      </c>
      <c r="S351" s="533">
        <f t="shared" si="86"/>
        <v>3.8689400285675963E-4</v>
      </c>
      <c r="T351" s="532">
        <f t="shared" si="87"/>
        <v>197.66318693999997</v>
      </c>
      <c r="U351" s="534">
        <f t="shared" si="95"/>
        <v>5.5131636932142262E-3</v>
      </c>
      <c r="V351" s="533">
        <f t="shared" si="88"/>
        <v>1.9130678015453367E-4</v>
      </c>
      <c r="W351" s="533"/>
      <c r="X351" s="535">
        <v>1.0500000000000001E-2</v>
      </c>
      <c r="Y351" s="535">
        <v>6.5000000000000002E-2</v>
      </c>
      <c r="Z351" s="535">
        <v>3.4700000000000002E-2</v>
      </c>
    </row>
    <row r="352" spans="1:26" ht="14.5">
      <c r="A352" s="509">
        <v>348</v>
      </c>
      <c r="B352" s="524" t="s">
        <v>1120</v>
      </c>
      <c r="C352" s="525" t="s">
        <v>1121</v>
      </c>
      <c r="D352" s="526">
        <v>54.26</v>
      </c>
      <c r="E352" s="527">
        <v>1.88</v>
      </c>
      <c r="F352" s="101">
        <f t="shared" si="80"/>
        <v>3.4647991153704386E-2</v>
      </c>
      <c r="G352" s="102">
        <f t="shared" si="89"/>
        <v>4.8849999999999998E-2</v>
      </c>
      <c r="H352" s="102">
        <f t="shared" si="90"/>
        <v>0.11</v>
      </c>
      <c r="I352" s="102">
        <f t="shared" si="91"/>
        <v>6.0700000000000004E-2</v>
      </c>
      <c r="J352" s="528">
        <v>192.85499999999999</v>
      </c>
      <c r="K352" s="529">
        <f t="shared" si="81"/>
        <v>10.4643123</v>
      </c>
      <c r="L352" s="530">
        <f t="shared" si="92"/>
        <v>2.5672805401488795E-4</v>
      </c>
      <c r="M352" s="531">
        <f t="shared" si="82"/>
        <v>8.8951113444155792E-6</v>
      </c>
      <c r="N352" s="532">
        <f t="shared" si="83"/>
        <v>10.4643123</v>
      </c>
      <c r="O352" s="533">
        <f t="shared" si="93"/>
        <v>3.1257240974034691E-4</v>
      </c>
      <c r="P352" s="533">
        <f t="shared" si="84"/>
        <v>1.5269162215815947E-5</v>
      </c>
      <c r="Q352" s="532">
        <f t="shared" si="85"/>
        <v>10.4643123</v>
      </c>
      <c r="R352" s="534">
        <f t="shared" si="94"/>
        <v>3.1511098290798445E-4</v>
      </c>
      <c r="S352" s="533">
        <f t="shared" si="86"/>
        <v>3.4662208119878293E-5</v>
      </c>
      <c r="T352" s="532">
        <f t="shared" si="87"/>
        <v>10.4643123</v>
      </c>
      <c r="U352" s="534">
        <f t="shared" si="95"/>
        <v>2.9186753254326065E-4</v>
      </c>
      <c r="V352" s="533">
        <f t="shared" si="88"/>
        <v>1.7716359225375921E-5</v>
      </c>
      <c r="W352" s="533"/>
      <c r="X352" s="535">
        <v>4.8849999999999998E-2</v>
      </c>
      <c r="Y352" s="535">
        <v>0.11</v>
      </c>
      <c r="Z352" s="535">
        <v>6.0700000000000004E-2</v>
      </c>
    </row>
    <row r="353" spans="1:26" ht="14.5">
      <c r="A353" s="509">
        <v>349</v>
      </c>
      <c r="B353" s="524" t="s">
        <v>1122</v>
      </c>
      <c r="C353" s="525" t="s">
        <v>1123</v>
      </c>
      <c r="D353" s="526">
        <v>49.78</v>
      </c>
      <c r="E353" s="527">
        <v>0.32</v>
      </c>
      <c r="F353" s="101">
        <f t="shared" si="80"/>
        <v>6.4282844515869825E-3</v>
      </c>
      <c r="G353" s="102">
        <f t="shared" si="89"/>
        <v>0.1217</v>
      </c>
      <c r="H353" s="102">
        <f t="shared" si="90"/>
        <v>0.1</v>
      </c>
      <c r="I353" s="102">
        <f t="shared" si="91"/>
        <v>0.13650000000000001</v>
      </c>
      <c r="J353" s="528">
        <v>158.08799999999999</v>
      </c>
      <c r="K353" s="529">
        <f t="shared" si="81"/>
        <v>7.8696206399999999</v>
      </c>
      <c r="L353" s="530">
        <f t="shared" si="92"/>
        <v>1.9307072790082891E-4</v>
      </c>
      <c r="M353" s="531">
        <f t="shared" si="82"/>
        <v>1.2411135582214795E-6</v>
      </c>
      <c r="N353" s="532">
        <f t="shared" si="83"/>
        <v>7.8696206399999999</v>
      </c>
      <c r="O353" s="533">
        <f t="shared" si="93"/>
        <v>2.3506812647278993E-4</v>
      </c>
      <c r="P353" s="533">
        <f t="shared" si="84"/>
        <v>2.8607790991738535E-5</v>
      </c>
      <c r="Q353" s="532">
        <f t="shared" si="85"/>
        <v>7.8696206399999999</v>
      </c>
      <c r="R353" s="534">
        <f t="shared" si="94"/>
        <v>2.3697724455178597E-4</v>
      </c>
      <c r="S353" s="533">
        <f t="shared" si="86"/>
        <v>2.36977244551786E-5</v>
      </c>
      <c r="T353" s="532">
        <f t="shared" si="87"/>
        <v>7.8696206399999999</v>
      </c>
      <c r="U353" s="534">
        <f t="shared" si="95"/>
        <v>2.194971530282325E-4</v>
      </c>
      <c r="V353" s="533">
        <f t="shared" si="88"/>
        <v>2.9961361388353738E-5</v>
      </c>
      <c r="W353" s="533"/>
      <c r="X353" s="535">
        <v>0.1217</v>
      </c>
      <c r="Y353" s="535">
        <v>0.1</v>
      </c>
      <c r="Z353" s="535">
        <v>0.13650000000000001</v>
      </c>
    </row>
    <row r="354" spans="1:26" ht="14.5">
      <c r="A354" s="509">
        <v>350</v>
      </c>
      <c r="B354" s="524" t="s">
        <v>1352</v>
      </c>
      <c r="C354" s="525" t="s">
        <v>1124</v>
      </c>
      <c r="D354" s="526">
        <v>152.12</v>
      </c>
      <c r="E354" s="527">
        <v>2.84</v>
      </c>
      <c r="F354" s="101">
        <f t="shared" si="80"/>
        <v>1.8669471469892188E-2</v>
      </c>
      <c r="G354" s="102">
        <f t="shared" si="89"/>
        <v>9.6500000000000002E-2</v>
      </c>
      <c r="H354" s="102">
        <f t="shared" si="90"/>
        <v>0.08</v>
      </c>
      <c r="I354" s="102">
        <f t="shared" si="91"/>
        <v>9.2699999999999991E-2</v>
      </c>
      <c r="J354" s="528">
        <v>296.54700000000003</v>
      </c>
      <c r="K354" s="529">
        <f t="shared" si="81"/>
        <v>45.110729640000002</v>
      </c>
      <c r="L354" s="530">
        <f t="shared" si="92"/>
        <v>1.1067320530627634E-3</v>
      </c>
      <c r="M354" s="531">
        <f t="shared" si="82"/>
        <v>2.0662102489470469E-5</v>
      </c>
      <c r="N354" s="532">
        <f t="shared" si="83"/>
        <v>45.110729640000002</v>
      </c>
      <c r="O354" s="533">
        <f t="shared" si="93"/>
        <v>1.3474721572214634E-3</v>
      </c>
      <c r="P354" s="533">
        <f t="shared" si="84"/>
        <v>1.3003106317187123E-4</v>
      </c>
      <c r="Q354" s="532">
        <f t="shared" si="85"/>
        <v>45.110729640000002</v>
      </c>
      <c r="R354" s="534">
        <f t="shared" si="94"/>
        <v>1.3584157227949658E-3</v>
      </c>
      <c r="S354" s="533">
        <f t="shared" si="86"/>
        <v>1.0867325782359726E-4</v>
      </c>
      <c r="T354" s="532">
        <f t="shared" si="87"/>
        <v>45.110729640000002</v>
      </c>
      <c r="U354" s="534">
        <f t="shared" si="95"/>
        <v>1.2582152533093774E-3</v>
      </c>
      <c r="V354" s="533">
        <f t="shared" si="88"/>
        <v>1.1663655398177927E-4</v>
      </c>
      <c r="W354" s="533"/>
      <c r="X354" s="535">
        <v>9.6500000000000002E-2</v>
      </c>
      <c r="Y354" s="535">
        <v>0.08</v>
      </c>
      <c r="Z354" s="535">
        <v>9.2699999999999991E-2</v>
      </c>
    </row>
    <row r="355" spans="1:26" ht="14.5">
      <c r="A355" s="509">
        <v>351</v>
      </c>
      <c r="B355" s="524" t="s">
        <v>1125</v>
      </c>
      <c r="C355" s="525" t="s">
        <v>1126</v>
      </c>
      <c r="D355" s="526">
        <v>76.84</v>
      </c>
      <c r="E355" s="527">
        <v>0.49</v>
      </c>
      <c r="F355" s="101">
        <f t="shared" si="80"/>
        <v>6.376887038001041E-3</v>
      </c>
      <c r="G355" s="102">
        <f t="shared" si="89"/>
        <v>7.2000000000000008E-2</v>
      </c>
      <c r="H355" s="102">
        <f t="shared" si="90"/>
        <v>0.09</v>
      </c>
      <c r="I355" s="102">
        <f t="shared" si="91"/>
        <v>6.6900000000000001E-2</v>
      </c>
      <c r="J355" s="528">
        <v>160.41999999999999</v>
      </c>
      <c r="K355" s="529">
        <f t="shared" si="81"/>
        <v>12.326672800000001</v>
      </c>
      <c r="L355" s="530">
        <f t="shared" si="92"/>
        <v>3.0241860427103749E-4</v>
      </c>
      <c r="M355" s="531">
        <f t="shared" si="82"/>
        <v>1.9284892776263451E-6</v>
      </c>
      <c r="N355" s="532">
        <f t="shared" si="83"/>
        <v>12.326672800000001</v>
      </c>
      <c r="O355" s="533">
        <f t="shared" si="93"/>
        <v>3.6820172322043468E-4</v>
      </c>
      <c r="P355" s="533">
        <f t="shared" si="84"/>
        <v>2.65105240718713E-5</v>
      </c>
      <c r="Q355" s="532">
        <f t="shared" si="85"/>
        <v>12.326672800000001</v>
      </c>
      <c r="R355" s="534">
        <f t="shared" si="94"/>
        <v>3.7119209276591616E-4</v>
      </c>
      <c r="S355" s="533">
        <f t="shared" si="86"/>
        <v>3.3407288348932453E-5</v>
      </c>
      <c r="T355" s="532">
        <f t="shared" si="87"/>
        <v>12.326672800000001</v>
      </c>
      <c r="U355" s="534">
        <f t="shared" si="95"/>
        <v>3.4381194592253579E-4</v>
      </c>
      <c r="V355" s="533">
        <f t="shared" si="88"/>
        <v>2.3001019182217645E-5</v>
      </c>
      <c r="W355" s="533"/>
      <c r="X355" s="535">
        <v>7.2000000000000008E-2</v>
      </c>
      <c r="Y355" s="535">
        <v>0.09</v>
      </c>
      <c r="Z355" s="535">
        <v>6.6900000000000001E-2</v>
      </c>
    </row>
    <row r="356" spans="1:26" ht="14.5">
      <c r="A356" s="509">
        <v>352</v>
      </c>
      <c r="B356" s="524" t="s">
        <v>1127</v>
      </c>
      <c r="C356" s="525" t="s">
        <v>1128</v>
      </c>
      <c r="D356" s="526">
        <v>39.56</v>
      </c>
      <c r="E356" s="527">
        <v>2.08</v>
      </c>
      <c r="F356" s="101">
        <f t="shared" si="80"/>
        <v>5.2578361981799798E-2</v>
      </c>
      <c r="G356" s="102">
        <f t="shared" si="89"/>
        <v>6.8600000000000008E-2</v>
      </c>
      <c r="H356" s="102">
        <f t="shared" si="90"/>
        <v>1.4999999999999999E-2</v>
      </c>
      <c r="I356" s="102">
        <f t="shared" si="91"/>
        <v>6.9199999999999998E-2</v>
      </c>
      <c r="J356" s="528">
        <v>1309.539</v>
      </c>
      <c r="K356" s="529">
        <f t="shared" si="81"/>
        <v>51.805362840000001</v>
      </c>
      <c r="L356" s="530">
        <f t="shared" si="92"/>
        <v>1.2709760190785198E-3</v>
      </c>
      <c r="M356" s="531">
        <f t="shared" si="82"/>
        <v>6.68258372012973E-5</v>
      </c>
      <c r="N356" s="532">
        <f t="shared" si="83"/>
        <v>51.805362840000001</v>
      </c>
      <c r="O356" s="533">
        <f t="shared" si="93"/>
        <v>1.5474430269413714E-3</v>
      </c>
      <c r="P356" s="533">
        <f t="shared" si="84"/>
        <v>1.0615459164817808E-4</v>
      </c>
      <c r="Q356" s="532">
        <f t="shared" si="85"/>
        <v>51.805362840000001</v>
      </c>
      <c r="R356" s="534">
        <f t="shared" si="94"/>
        <v>1.5600106663881941E-3</v>
      </c>
      <c r="S356" s="533">
        <f t="shared" si="86"/>
        <v>2.3400159995822912E-5</v>
      </c>
      <c r="T356" s="532">
        <f t="shared" si="87"/>
        <v>51.805362840000001</v>
      </c>
      <c r="U356" s="534">
        <f t="shared" si="95"/>
        <v>1.4449400009419755E-3</v>
      </c>
      <c r="V356" s="533">
        <f t="shared" si="88"/>
        <v>9.9989848065184695E-5</v>
      </c>
      <c r="W356" s="533"/>
      <c r="X356" s="535">
        <v>6.8600000000000008E-2</v>
      </c>
      <c r="Y356" s="535">
        <v>1.4999999999999999E-2</v>
      </c>
      <c r="Z356" s="535">
        <v>6.9199999999999998E-2</v>
      </c>
    </row>
    <row r="357" spans="1:26" ht="14.5">
      <c r="A357" s="509">
        <v>353</v>
      </c>
      <c r="B357" s="524" t="s">
        <v>1129</v>
      </c>
      <c r="C357" s="525" t="s">
        <v>1130</v>
      </c>
      <c r="D357" s="526">
        <v>96.93</v>
      </c>
      <c r="E357" s="527">
        <v>4.4800000000000004</v>
      </c>
      <c r="F357" s="101">
        <f t="shared" si="80"/>
        <v>4.6218920870731456E-2</v>
      </c>
      <c r="G357" s="102">
        <f t="shared" si="89"/>
        <v>5.7229999999999996E-2</v>
      </c>
      <c r="H357" s="102">
        <f t="shared" si="90"/>
        <v>9.5000000000000001E-2</v>
      </c>
      <c r="I357" s="102">
        <f t="shared" si="91"/>
        <v>6.3200000000000006E-2</v>
      </c>
      <c r="J357" s="528">
        <v>454.36</v>
      </c>
      <c r="K357" s="529">
        <f t="shared" si="81"/>
        <v>44.041114800000003</v>
      </c>
      <c r="L357" s="530">
        <f t="shared" si="92"/>
        <v>1.0804904684706593E-3</v>
      </c>
      <c r="M357" s="531">
        <f t="shared" si="82"/>
        <v>4.9939103463824961E-5</v>
      </c>
      <c r="N357" s="532">
        <f t="shared" si="83"/>
        <v>44.041114800000003</v>
      </c>
      <c r="O357" s="533">
        <f t="shared" si="93"/>
        <v>1.3155224142810855E-3</v>
      </c>
      <c r="P357" s="533">
        <f t="shared" si="84"/>
        <v>7.5287347769306516E-5</v>
      </c>
      <c r="Q357" s="532">
        <f t="shared" si="85"/>
        <v>44.041114800000003</v>
      </c>
      <c r="R357" s="534">
        <f t="shared" si="94"/>
        <v>1.3262064983468988E-3</v>
      </c>
      <c r="S357" s="533">
        <f t="shared" si="86"/>
        <v>1.2598961734295539E-4</v>
      </c>
      <c r="T357" s="532">
        <f t="shared" si="87"/>
        <v>44.041114800000003</v>
      </c>
      <c r="U357" s="534">
        <f t="shared" si="95"/>
        <v>1.2283818695979171E-3</v>
      </c>
      <c r="V357" s="533">
        <f t="shared" si="88"/>
        <v>7.7633734158588367E-5</v>
      </c>
      <c r="W357" s="533"/>
      <c r="X357" s="535">
        <v>5.7229999999999996E-2</v>
      </c>
      <c r="Y357" s="535">
        <v>9.5000000000000001E-2</v>
      </c>
      <c r="Z357" s="535">
        <v>6.3200000000000006E-2</v>
      </c>
    </row>
    <row r="358" spans="1:26" ht="14.5">
      <c r="A358" s="509">
        <v>354</v>
      </c>
      <c r="B358" s="524" t="s">
        <v>1131</v>
      </c>
      <c r="C358" s="525" t="s">
        <v>1132</v>
      </c>
      <c r="D358" s="526">
        <v>128.09</v>
      </c>
      <c r="E358" s="527">
        <v>1.7</v>
      </c>
      <c r="F358" s="101">
        <f t="shared" si="80"/>
        <v>1.327191818252791E-2</v>
      </c>
      <c r="G358" s="102">
        <f t="shared" si="89"/>
        <v>8.4449999999999997E-2</v>
      </c>
      <c r="H358" s="102">
        <f t="shared" si="90"/>
        <v>0.11</v>
      </c>
      <c r="I358" s="102">
        <f t="shared" si="91"/>
        <v>9.0700000000000003E-2</v>
      </c>
      <c r="J358" s="528">
        <v>1116.492</v>
      </c>
      <c r="K358" s="529">
        <f t="shared" si="81"/>
        <v>143.01146027999999</v>
      </c>
      <c r="L358" s="530">
        <f t="shared" si="92"/>
        <v>3.5085969194088218E-3</v>
      </c>
      <c r="M358" s="531">
        <f t="shared" si="82"/>
        <v>4.6565811249863353E-5</v>
      </c>
      <c r="N358" s="532">
        <f t="shared" si="83"/>
        <v>143.01146027999999</v>
      </c>
      <c r="O358" s="533">
        <f t="shared" si="93"/>
        <v>4.2717988032720993E-3</v>
      </c>
      <c r="P358" s="533">
        <f t="shared" si="84"/>
        <v>3.6075340893632876E-4</v>
      </c>
      <c r="Q358" s="532">
        <f t="shared" si="85"/>
        <v>143.01146027999999</v>
      </c>
      <c r="R358" s="534">
        <f t="shared" si="94"/>
        <v>4.3064924405913406E-3</v>
      </c>
      <c r="S358" s="533">
        <f t="shared" si="86"/>
        <v>4.7371416846504749E-4</v>
      </c>
      <c r="T358" s="532">
        <f t="shared" si="87"/>
        <v>143.01146027999999</v>
      </c>
      <c r="U358" s="534">
        <f t="shared" si="95"/>
        <v>3.9888337466124869E-3</v>
      </c>
      <c r="V358" s="533">
        <f t="shared" si="88"/>
        <v>3.6178722081775256E-4</v>
      </c>
      <c r="W358" s="533"/>
      <c r="X358" s="535">
        <v>8.4449999999999997E-2</v>
      </c>
      <c r="Y358" s="535">
        <v>0.11</v>
      </c>
      <c r="Z358" s="535">
        <v>9.0700000000000003E-2</v>
      </c>
    </row>
    <row r="359" spans="1:26" ht="14.5">
      <c r="A359" s="509">
        <v>355</v>
      </c>
      <c r="B359" s="524" t="s">
        <v>1133</v>
      </c>
      <c r="C359" s="525" t="s">
        <v>442</v>
      </c>
      <c r="D359" s="526">
        <v>410.78</v>
      </c>
      <c r="E359" s="527">
        <v>1.72</v>
      </c>
      <c r="F359" s="101">
        <f t="shared" si="80"/>
        <v>4.187156141973806E-3</v>
      </c>
      <c r="G359" s="102">
        <f t="shared" si="89"/>
        <v>7.152E-2</v>
      </c>
      <c r="H359" s="102">
        <f t="shared" si="90"/>
        <v>0.08</v>
      </c>
      <c r="I359" s="102">
        <f t="shared" si="91"/>
        <v>8.48E-2</v>
      </c>
      <c r="J359" s="528">
        <v>377.49400000000003</v>
      </c>
      <c r="K359" s="529">
        <f t="shared" si="81"/>
        <v>155.06698532000001</v>
      </c>
      <c r="L359" s="530">
        <f t="shared" si="92"/>
        <v>3.8043632722198862E-3</v>
      </c>
      <c r="M359" s="531">
        <f t="shared" si="82"/>
        <v>1.5929463041575063E-5</v>
      </c>
      <c r="N359" s="532">
        <f t="shared" si="83"/>
        <v>155.06698532000001</v>
      </c>
      <c r="O359" s="533">
        <f t="shared" si="93"/>
        <v>4.631901254766967E-3</v>
      </c>
      <c r="P359" s="533">
        <f t="shared" si="84"/>
        <v>3.3127357774093347E-4</v>
      </c>
      <c r="Q359" s="532">
        <f t="shared" si="85"/>
        <v>155.06698532000001</v>
      </c>
      <c r="R359" s="534">
        <f t="shared" si="94"/>
        <v>4.6695194829729234E-3</v>
      </c>
      <c r="S359" s="533">
        <f t="shared" si="86"/>
        <v>3.7356155863783386E-4</v>
      </c>
      <c r="T359" s="532">
        <f t="shared" si="87"/>
        <v>155.06698532000001</v>
      </c>
      <c r="U359" s="534">
        <f t="shared" si="95"/>
        <v>4.3250829186615948E-3</v>
      </c>
      <c r="V359" s="533">
        <f t="shared" si="88"/>
        <v>3.6676703150250324E-4</v>
      </c>
      <c r="W359" s="533"/>
      <c r="X359" s="535">
        <v>7.152E-2</v>
      </c>
      <c r="Y359" s="535">
        <v>0.08</v>
      </c>
      <c r="Z359" s="535">
        <v>8.48E-2</v>
      </c>
    </row>
    <row r="360" spans="1:26" ht="14.5">
      <c r="A360" s="509">
        <v>356</v>
      </c>
      <c r="B360" s="524" t="s">
        <v>1134</v>
      </c>
      <c r="C360" s="525" t="s">
        <v>1135</v>
      </c>
      <c r="D360" s="526">
        <v>247.49</v>
      </c>
      <c r="E360" s="527">
        <v>3.64</v>
      </c>
      <c r="F360" s="101">
        <f t="shared" si="80"/>
        <v>1.4707664956159845E-2</v>
      </c>
      <c r="G360" s="102">
        <f t="shared" si="89"/>
        <v>0.17699999999999999</v>
      </c>
      <c r="H360" s="102">
        <f t="shared" si="90"/>
        <v>0.18</v>
      </c>
      <c r="I360" s="102">
        <f t="shared" si="91"/>
        <v>0.1721</v>
      </c>
      <c r="J360" s="528">
        <v>1135.4449999999999</v>
      </c>
      <c r="K360" s="529">
        <f t="shared" si="81"/>
        <v>281.01128304999997</v>
      </c>
      <c r="L360" s="530">
        <f t="shared" si="92"/>
        <v>6.8942399448125571E-3</v>
      </c>
      <c r="M360" s="531">
        <f t="shared" si="82"/>
        <v>1.0139817123567703E-4</v>
      </c>
      <c r="N360" s="532">
        <f t="shared" si="83"/>
        <v>281.01128304999997</v>
      </c>
      <c r="O360" s="533">
        <f t="shared" si="93"/>
        <v>8.39389836512861E-3</v>
      </c>
      <c r="P360" s="533">
        <f t="shared" si="84"/>
        <v>1.4857200106277639E-3</v>
      </c>
      <c r="Q360" s="532">
        <f t="shared" si="85"/>
        <v>281.01128304999997</v>
      </c>
      <c r="R360" s="534">
        <f t="shared" si="94"/>
        <v>8.4620698495513486E-3</v>
      </c>
      <c r="S360" s="533">
        <f t="shared" si="86"/>
        <v>1.5231725729192426E-3</v>
      </c>
      <c r="T360" s="532">
        <f t="shared" si="87"/>
        <v>281.01128304999997</v>
      </c>
      <c r="U360" s="534">
        <f t="shared" si="95"/>
        <v>7.8378843682464731E-3</v>
      </c>
      <c r="V360" s="533">
        <f t="shared" si="88"/>
        <v>1.3488998997752181E-3</v>
      </c>
      <c r="W360" s="533"/>
      <c r="X360" s="535">
        <v>0.17699999999999999</v>
      </c>
      <c r="Y360" s="535">
        <v>0.18</v>
      </c>
      <c r="Z360" s="535">
        <v>0.1721</v>
      </c>
    </row>
    <row r="361" spans="1:26" ht="14.5">
      <c r="A361" s="509">
        <v>357</v>
      </c>
      <c r="B361" s="524" t="s">
        <v>1353</v>
      </c>
      <c r="C361" s="525" t="s">
        <v>1354</v>
      </c>
      <c r="D361" s="526">
        <v>1287.49</v>
      </c>
      <c r="E361" s="527">
        <v>6.55</v>
      </c>
      <c r="F361" s="101">
        <f t="shared" si="80"/>
        <v>5.0874181547041139E-3</v>
      </c>
      <c r="G361" s="102" t="str">
        <f t="shared" si="89"/>
        <v>NMF</v>
      </c>
      <c r="H361" s="102">
        <f t="shared" si="90"/>
        <v>0.1</v>
      </c>
      <c r="I361" s="102" t="str">
        <f t="shared" si="91"/>
        <v>NMF</v>
      </c>
      <c r="J361" s="528">
        <v>22.984999999999999</v>
      </c>
      <c r="K361" s="529">
        <f t="shared" si="81"/>
        <v>29.592957649999999</v>
      </c>
      <c r="L361" s="530">
        <f t="shared" si="92"/>
        <v>7.260240532031419E-4</v>
      </c>
      <c r="M361" s="531">
        <f t="shared" si="82"/>
        <v>3.6935879490175297E-6</v>
      </c>
      <c r="N361" s="532" t="str">
        <f t="shared" si="83"/>
        <v>--</v>
      </c>
      <c r="O361" s="533" t="str">
        <f t="shared" si="93"/>
        <v>--</v>
      </c>
      <c r="P361" s="533" t="str">
        <f t="shared" si="84"/>
        <v>--</v>
      </c>
      <c r="Q361" s="532">
        <f t="shared" si="85"/>
        <v>29.592957649999999</v>
      </c>
      <c r="R361" s="534">
        <f t="shared" si="94"/>
        <v>8.9113032035997798E-4</v>
      </c>
      <c r="S361" s="533">
        <f t="shared" si="86"/>
        <v>8.9113032035997809E-5</v>
      </c>
      <c r="T361" s="532" t="str">
        <f t="shared" si="87"/>
        <v>--</v>
      </c>
      <c r="U361" s="534" t="str">
        <f t="shared" si="95"/>
        <v>--</v>
      </c>
      <c r="V361" s="533" t="str">
        <f t="shared" si="88"/>
        <v>--</v>
      </c>
      <c r="W361" s="533"/>
      <c r="X361" s="535" t="s">
        <v>36</v>
      </c>
      <c r="Y361" s="535">
        <v>0.1</v>
      </c>
      <c r="Z361" s="535" t="s">
        <v>36</v>
      </c>
    </row>
    <row r="362" spans="1:26" ht="14.5">
      <c r="A362" s="509">
        <v>358</v>
      </c>
      <c r="B362" s="524" t="s">
        <v>1136</v>
      </c>
      <c r="C362" s="525" t="s">
        <v>1137</v>
      </c>
      <c r="D362" s="526">
        <v>77.540000000000006</v>
      </c>
      <c r="E362" s="527">
        <v>1.4</v>
      </c>
      <c r="F362" s="101">
        <f t="shared" si="80"/>
        <v>1.8055197317513538E-2</v>
      </c>
      <c r="G362" s="102">
        <f t="shared" si="89"/>
        <v>0.113</v>
      </c>
      <c r="H362" s="102">
        <f t="shared" si="90"/>
        <v>9.5000000000000001E-2</v>
      </c>
      <c r="I362" s="102">
        <f t="shared" si="91"/>
        <v>8.7100000000000011E-2</v>
      </c>
      <c r="J362" s="528">
        <v>207.01499999999999</v>
      </c>
      <c r="K362" s="529">
        <f t="shared" si="81"/>
        <v>16.051943099999999</v>
      </c>
      <c r="L362" s="530">
        <f t="shared" si="92"/>
        <v>3.9381318113190371E-4</v>
      </c>
      <c r="M362" s="531">
        <f t="shared" si="82"/>
        <v>7.1103746915742209E-6</v>
      </c>
      <c r="N362" s="532">
        <f t="shared" si="83"/>
        <v>16.051943099999999</v>
      </c>
      <c r="O362" s="533">
        <f t="shared" si="93"/>
        <v>4.7947675795015544E-4</v>
      </c>
      <c r="P362" s="533">
        <f t="shared" si="84"/>
        <v>5.4180873648367564E-5</v>
      </c>
      <c r="Q362" s="532">
        <f t="shared" si="85"/>
        <v>16.051943099999999</v>
      </c>
      <c r="R362" s="534">
        <f t="shared" si="94"/>
        <v>4.8337085350788308E-4</v>
      </c>
      <c r="S362" s="533">
        <f t="shared" si="86"/>
        <v>4.5920231083248891E-5</v>
      </c>
      <c r="T362" s="532">
        <f t="shared" si="87"/>
        <v>16.051943099999999</v>
      </c>
      <c r="U362" s="534">
        <f t="shared" si="95"/>
        <v>4.4771609359573665E-4</v>
      </c>
      <c r="V362" s="533">
        <f t="shared" si="88"/>
        <v>3.8996071752188667E-5</v>
      </c>
      <c r="W362" s="533"/>
      <c r="X362" s="535">
        <v>0.113</v>
      </c>
      <c r="Y362" s="535">
        <v>9.5000000000000001E-2</v>
      </c>
      <c r="Z362" s="535">
        <v>8.7100000000000011E-2</v>
      </c>
    </row>
    <row r="363" spans="1:26" ht="14.5">
      <c r="A363" s="509">
        <v>359</v>
      </c>
      <c r="B363" s="524" t="s">
        <v>1138</v>
      </c>
      <c r="C363" s="525" t="s">
        <v>1139</v>
      </c>
      <c r="D363" s="526">
        <v>160.05000000000001</v>
      </c>
      <c r="E363" s="527">
        <v>4</v>
      </c>
      <c r="F363" s="101">
        <f t="shared" si="80"/>
        <v>2.4992189940643547E-2</v>
      </c>
      <c r="G363" s="102" t="str">
        <f t="shared" si="89"/>
        <v>NMF</v>
      </c>
      <c r="H363" s="102" t="str">
        <f t="shared" si="90"/>
        <v>NMF</v>
      </c>
      <c r="I363" s="102" t="str">
        <f t="shared" si="91"/>
        <v>NMF</v>
      </c>
      <c r="J363" s="528">
        <v>216.93199999999999</v>
      </c>
      <c r="K363" s="529">
        <f t="shared" si="81"/>
        <v>34.719966599999999</v>
      </c>
      <c r="L363" s="530">
        <f t="shared" si="92"/>
        <v>8.518084328083276E-4</v>
      </c>
      <c r="M363" s="531">
        <f t="shared" si="82"/>
        <v>2.1288558145787631E-5</v>
      </c>
      <c r="N363" s="532" t="str">
        <f t="shared" si="83"/>
        <v>--</v>
      </c>
      <c r="O363" s="533" t="str">
        <f t="shared" si="93"/>
        <v>--</v>
      </c>
      <c r="P363" s="533" t="str">
        <f t="shared" si="84"/>
        <v>--</v>
      </c>
      <c r="Q363" s="532" t="str">
        <f t="shared" si="85"/>
        <v>--</v>
      </c>
      <c r="R363" s="534" t="str">
        <f t="shared" si="94"/>
        <v>--</v>
      </c>
      <c r="S363" s="533" t="str">
        <f t="shared" si="86"/>
        <v>--</v>
      </c>
      <c r="T363" s="532" t="str">
        <f t="shared" si="87"/>
        <v>--</v>
      </c>
      <c r="U363" s="534" t="str">
        <f t="shared" si="95"/>
        <v>--</v>
      </c>
      <c r="V363" s="533" t="str">
        <f t="shared" si="88"/>
        <v>--</v>
      </c>
      <c r="W363" s="533"/>
      <c r="X363" s="535">
        <v>0.41399999999999998</v>
      </c>
      <c r="Y363" s="535">
        <v>0.22</v>
      </c>
      <c r="Z363" s="535">
        <v>0.36670000000000003</v>
      </c>
    </row>
    <row r="364" spans="1:26" ht="14.5">
      <c r="A364" s="509">
        <v>360</v>
      </c>
      <c r="B364" s="524" t="s">
        <v>1140</v>
      </c>
      <c r="C364" s="525" t="s">
        <v>1141</v>
      </c>
      <c r="D364" s="526">
        <v>92.66</v>
      </c>
      <c r="E364" s="527">
        <v>5.15</v>
      </c>
      <c r="F364" s="101">
        <f t="shared" si="80"/>
        <v>5.5579538096265924E-2</v>
      </c>
      <c r="G364" s="102" t="str">
        <f t="shared" si="89"/>
        <v>NMF</v>
      </c>
      <c r="H364" s="102">
        <f t="shared" si="90"/>
        <v>8.5000000000000006E-2</v>
      </c>
      <c r="I364" s="102">
        <f t="shared" si="91"/>
        <v>3.6799999999999999E-2</v>
      </c>
      <c r="J364" s="528">
        <v>220.316</v>
      </c>
      <c r="K364" s="529">
        <f t="shared" si="81"/>
        <v>20.414480560000001</v>
      </c>
      <c r="L364" s="530">
        <f t="shared" si="92"/>
        <v>5.0084226441651216E-4</v>
      </c>
      <c r="M364" s="531">
        <f t="shared" si="82"/>
        <v>2.7836581715357629E-5</v>
      </c>
      <c r="N364" s="532" t="str">
        <f t="shared" si="83"/>
        <v>--</v>
      </c>
      <c r="O364" s="533" t="str">
        <f t="shared" si="93"/>
        <v>--</v>
      </c>
      <c r="P364" s="533" t="str">
        <f t="shared" si="84"/>
        <v>--</v>
      </c>
      <c r="Q364" s="532">
        <f t="shared" si="85"/>
        <v>20.414480560000001</v>
      </c>
      <c r="R364" s="534">
        <f t="shared" si="94"/>
        <v>6.1473958826874285E-4</v>
      </c>
      <c r="S364" s="533">
        <f t="shared" si="86"/>
        <v>5.2252865002843144E-5</v>
      </c>
      <c r="T364" s="532">
        <f t="shared" si="87"/>
        <v>20.414480560000001</v>
      </c>
      <c r="U364" s="534">
        <f t="shared" si="95"/>
        <v>5.6939471017121326E-4</v>
      </c>
      <c r="V364" s="533">
        <f t="shared" si="88"/>
        <v>2.0953725334300649E-5</v>
      </c>
      <c r="W364" s="533"/>
      <c r="X364" s="535">
        <v>-3.2000000000000001E-2</v>
      </c>
      <c r="Y364" s="535">
        <v>8.5000000000000006E-2</v>
      </c>
      <c r="Z364" s="535">
        <v>3.6799999999999999E-2</v>
      </c>
    </row>
    <row r="365" spans="1:26" ht="14.5">
      <c r="A365" s="509">
        <v>361</v>
      </c>
      <c r="B365" s="524" t="s">
        <v>1142</v>
      </c>
      <c r="C365" s="525" t="s">
        <v>443</v>
      </c>
      <c r="D365" s="526">
        <v>270.82</v>
      </c>
      <c r="E365" s="527">
        <v>4.4000000000000004</v>
      </c>
      <c r="F365" s="101">
        <f t="shared" si="80"/>
        <v>1.6246953696181968E-2</v>
      </c>
      <c r="G365" s="102">
        <f t="shared" si="89"/>
        <v>0.10400000000000001</v>
      </c>
      <c r="H365" s="102">
        <f t="shared" si="90"/>
        <v>0.105</v>
      </c>
      <c r="I365" s="102">
        <f t="shared" si="91"/>
        <v>4.0099999999999997E-2</v>
      </c>
      <c r="J365" s="528">
        <v>226.56899999999999</v>
      </c>
      <c r="K365" s="529">
        <f t="shared" si="81"/>
        <v>61.359416579999994</v>
      </c>
      <c r="L365" s="530">
        <f t="shared" si="92"/>
        <v>1.5053720839421287E-3</v>
      </c>
      <c r="M365" s="531">
        <f t="shared" si="82"/>
        <v>2.4457710543332718E-5</v>
      </c>
      <c r="N365" s="532">
        <f t="shared" si="83"/>
        <v>61.359416579999994</v>
      </c>
      <c r="O365" s="533">
        <f t="shared" si="93"/>
        <v>1.832825717622399E-3</v>
      </c>
      <c r="P365" s="533">
        <f t="shared" si="84"/>
        <v>1.9061387463272951E-4</v>
      </c>
      <c r="Q365" s="532">
        <f t="shared" si="85"/>
        <v>61.359416579999994</v>
      </c>
      <c r="R365" s="534">
        <f t="shared" si="94"/>
        <v>1.8477111075119843E-3</v>
      </c>
      <c r="S365" s="533">
        <f t="shared" si="86"/>
        <v>1.9400966628875833E-4</v>
      </c>
      <c r="T365" s="532">
        <f t="shared" si="87"/>
        <v>61.359416579999994</v>
      </c>
      <c r="U365" s="534">
        <f t="shared" si="95"/>
        <v>1.7114188684428536E-3</v>
      </c>
      <c r="V365" s="533">
        <f t="shared" si="88"/>
        <v>6.8627896624558419E-5</v>
      </c>
      <c r="W365" s="533"/>
      <c r="X365" s="535">
        <v>0.10400000000000001</v>
      </c>
      <c r="Y365" s="535">
        <v>0.105</v>
      </c>
      <c r="Z365" s="535">
        <v>4.0099999999999997E-2</v>
      </c>
    </row>
    <row r="366" spans="1:26" ht="14.5">
      <c r="A366" s="509">
        <v>362</v>
      </c>
      <c r="B366" s="524" t="s">
        <v>1143</v>
      </c>
      <c r="C366" s="525" t="s">
        <v>1144</v>
      </c>
      <c r="D366" s="526">
        <v>51.42</v>
      </c>
      <c r="E366" s="527">
        <v>0.92</v>
      </c>
      <c r="F366" s="101">
        <f t="shared" si="80"/>
        <v>1.7891870867366783E-2</v>
      </c>
      <c r="G366" s="102">
        <f t="shared" si="89"/>
        <v>8.1000000000000003E-2</v>
      </c>
      <c r="H366" s="102">
        <f t="shared" si="90"/>
        <v>0.1</v>
      </c>
      <c r="I366" s="102">
        <f t="shared" si="91"/>
        <v>8.900000000000001E-2</v>
      </c>
      <c r="J366" s="528">
        <v>531.61500000000001</v>
      </c>
      <c r="K366" s="529">
        <f t="shared" si="81"/>
        <v>27.335643300000001</v>
      </c>
      <c r="L366" s="530">
        <f t="shared" si="92"/>
        <v>6.7064383291141937E-4</v>
      </c>
      <c r="M366" s="531">
        <f t="shared" si="82"/>
        <v>1.1999072856447021E-5</v>
      </c>
      <c r="N366" s="532">
        <f t="shared" si="83"/>
        <v>27.335643300000001</v>
      </c>
      <c r="O366" s="533">
        <f t="shared" si="93"/>
        <v>8.1652455059885492E-4</v>
      </c>
      <c r="P366" s="533">
        <f t="shared" si="84"/>
        <v>6.6138488598507257E-5</v>
      </c>
      <c r="Q366" s="532">
        <f t="shared" si="85"/>
        <v>27.335643300000001</v>
      </c>
      <c r="R366" s="534">
        <f t="shared" si="94"/>
        <v>8.2315599742613388E-4</v>
      </c>
      <c r="S366" s="533">
        <f t="shared" si="86"/>
        <v>8.2315599742613388E-5</v>
      </c>
      <c r="T366" s="532">
        <f t="shared" si="87"/>
        <v>27.335643300000001</v>
      </c>
      <c r="U366" s="534">
        <f t="shared" si="95"/>
        <v>7.6243775335849975E-4</v>
      </c>
      <c r="V366" s="533">
        <f t="shared" si="88"/>
        <v>6.7856960048906485E-5</v>
      </c>
      <c r="W366" s="533"/>
      <c r="X366" s="535">
        <v>8.1000000000000003E-2</v>
      </c>
      <c r="Y366" s="535">
        <v>0.1</v>
      </c>
      <c r="Z366" s="535">
        <v>8.900000000000001E-2</v>
      </c>
    </row>
    <row r="367" spans="1:26" ht="14.5">
      <c r="A367" s="509">
        <v>363</v>
      </c>
      <c r="B367" s="524" t="s">
        <v>1145</v>
      </c>
      <c r="C367" s="525" t="s">
        <v>1146</v>
      </c>
      <c r="D367" s="526">
        <v>56.34</v>
      </c>
      <c r="E367" s="527">
        <v>2</v>
      </c>
      <c r="F367" s="101">
        <f t="shared" si="80"/>
        <v>3.5498757543485977E-2</v>
      </c>
      <c r="G367" s="102">
        <f t="shared" si="89"/>
        <v>0.19600000000000001</v>
      </c>
      <c r="H367" s="102">
        <f t="shared" si="90"/>
        <v>0.04</v>
      </c>
      <c r="I367" s="102">
        <f t="shared" si="91"/>
        <v>0.19570000000000001</v>
      </c>
      <c r="J367" s="528">
        <v>356.23399999999998</v>
      </c>
      <c r="K367" s="529">
        <f t="shared" si="81"/>
        <v>20.070223559999999</v>
      </c>
      <c r="L367" s="530">
        <f t="shared" si="92"/>
        <v>4.9239637450447233E-4</v>
      </c>
      <c r="M367" s="531">
        <f t="shared" si="82"/>
        <v>1.7479459513825784E-5</v>
      </c>
      <c r="N367" s="532">
        <f t="shared" si="83"/>
        <v>20.070223559999999</v>
      </c>
      <c r="O367" s="533">
        <f t="shared" si="93"/>
        <v>5.9950410139963852E-4</v>
      </c>
      <c r="P367" s="533">
        <f t="shared" si="84"/>
        <v>1.1750280387432915E-4</v>
      </c>
      <c r="Q367" s="532">
        <f t="shared" si="85"/>
        <v>20.070223559999999</v>
      </c>
      <c r="R367" s="534">
        <f t="shared" si="94"/>
        <v>6.043730053024686E-4</v>
      </c>
      <c r="S367" s="533">
        <f t="shared" si="86"/>
        <v>2.4174920212098743E-5</v>
      </c>
      <c r="T367" s="532">
        <f t="shared" si="87"/>
        <v>20.070223559999999</v>
      </c>
      <c r="U367" s="534">
        <f t="shared" si="95"/>
        <v>5.5979279479730516E-4</v>
      </c>
      <c r="V367" s="533">
        <f t="shared" si="88"/>
        <v>1.0955144994183262E-4</v>
      </c>
      <c r="W367" s="533"/>
      <c r="X367" s="535">
        <v>0.19600000000000001</v>
      </c>
      <c r="Y367" s="535">
        <v>0.04</v>
      </c>
      <c r="Z367" s="535">
        <v>0.19570000000000001</v>
      </c>
    </row>
    <row r="368" spans="1:26" ht="14.5">
      <c r="A368" s="509">
        <v>364</v>
      </c>
      <c r="B368" s="524" t="s">
        <v>1147</v>
      </c>
      <c r="C368" s="525" t="s">
        <v>1148</v>
      </c>
      <c r="D368" s="526">
        <v>405.65</v>
      </c>
      <c r="E368" s="527">
        <v>3.76</v>
      </c>
      <c r="F368" s="101">
        <f t="shared" si="80"/>
        <v>9.2690743251571551E-3</v>
      </c>
      <c r="G368" s="102">
        <f t="shared" si="89"/>
        <v>0.12185</v>
      </c>
      <c r="H368" s="102">
        <f t="shared" si="90"/>
        <v>0.125</v>
      </c>
      <c r="I368" s="102">
        <f t="shared" si="91"/>
        <v>0.11810000000000001</v>
      </c>
      <c r="J368" s="528">
        <v>223.018</v>
      </c>
      <c r="K368" s="529">
        <f t="shared" si="81"/>
        <v>90.467251699999991</v>
      </c>
      <c r="L368" s="530">
        <f t="shared" si="92"/>
        <v>2.2194942978733599E-3</v>
      </c>
      <c r="M368" s="531">
        <f t="shared" si="82"/>
        <v>2.0572657611250667E-5</v>
      </c>
      <c r="N368" s="532">
        <f t="shared" si="83"/>
        <v>90.467251699999991</v>
      </c>
      <c r="O368" s="533">
        <f t="shared" si="93"/>
        <v>2.7022862139211476E-3</v>
      </c>
      <c r="P368" s="533">
        <f t="shared" si="84"/>
        <v>3.2927357516629186E-4</v>
      </c>
      <c r="Q368" s="532">
        <f t="shared" si="85"/>
        <v>90.467251699999991</v>
      </c>
      <c r="R368" s="534">
        <f t="shared" si="94"/>
        <v>2.7242329726886142E-3</v>
      </c>
      <c r="S368" s="533">
        <f t="shared" si="86"/>
        <v>3.4052912158607677E-4</v>
      </c>
      <c r="T368" s="532">
        <f t="shared" si="87"/>
        <v>90.467251699999991</v>
      </c>
      <c r="U368" s="534">
        <f t="shared" si="95"/>
        <v>2.5232860767782227E-3</v>
      </c>
      <c r="V368" s="533">
        <f t="shared" si="88"/>
        <v>2.9800008566750811E-4</v>
      </c>
      <c r="W368" s="533"/>
      <c r="X368" s="535">
        <v>0.12185</v>
      </c>
      <c r="Y368" s="535">
        <v>0.125</v>
      </c>
      <c r="Z368" s="535">
        <v>0.11810000000000001</v>
      </c>
    </row>
    <row r="369" spans="1:26" ht="14.5">
      <c r="A369" s="509">
        <v>365</v>
      </c>
      <c r="B369" s="524" t="s">
        <v>1149</v>
      </c>
      <c r="C369" s="525" t="s">
        <v>440</v>
      </c>
      <c r="D369" s="526">
        <v>165.64</v>
      </c>
      <c r="E369" s="527">
        <v>5.44</v>
      </c>
      <c r="F369" s="101">
        <f t="shared" si="80"/>
        <v>3.2842308621106021E-2</v>
      </c>
      <c r="G369" s="102">
        <f t="shared" si="89"/>
        <v>0.11699999999999999</v>
      </c>
      <c r="H369" s="102">
        <f t="shared" si="90"/>
        <v>6.5000000000000002E-2</v>
      </c>
      <c r="I369" s="102">
        <f t="shared" si="91"/>
        <v>0.11070000000000001</v>
      </c>
      <c r="J369" s="528">
        <v>908.47199999999998</v>
      </c>
      <c r="K369" s="529">
        <f t="shared" si="81"/>
        <v>150.47930208</v>
      </c>
      <c r="L369" s="530">
        <f t="shared" si="92"/>
        <v>3.6918105351764858E-3</v>
      </c>
      <c r="M369" s="531">
        <f t="shared" si="82"/>
        <v>1.2124758096691673E-4</v>
      </c>
      <c r="N369" s="532">
        <f t="shared" si="83"/>
        <v>150.47930208</v>
      </c>
      <c r="O369" s="533">
        <f t="shared" si="93"/>
        <v>4.4948656651991551E-3</v>
      </c>
      <c r="P369" s="533">
        <f t="shared" si="84"/>
        <v>5.2589928282830106E-4</v>
      </c>
      <c r="Q369" s="532">
        <f t="shared" si="85"/>
        <v>150.47930208</v>
      </c>
      <c r="R369" s="534">
        <f t="shared" si="94"/>
        <v>4.5313709516999331E-3</v>
      </c>
      <c r="S369" s="533">
        <f t="shared" si="86"/>
        <v>2.9453911186049566E-4</v>
      </c>
      <c r="T369" s="532">
        <f t="shared" si="87"/>
        <v>150.47930208</v>
      </c>
      <c r="U369" s="534">
        <f t="shared" si="95"/>
        <v>4.1971246019598969E-3</v>
      </c>
      <c r="V369" s="533">
        <f t="shared" si="88"/>
        <v>4.646216934369606E-4</v>
      </c>
      <c r="W369" s="533"/>
      <c r="X369" s="535">
        <v>0.11699999999999999</v>
      </c>
      <c r="Y369" s="535">
        <v>6.5000000000000002E-2</v>
      </c>
      <c r="Z369" s="535">
        <v>0.11070000000000001</v>
      </c>
    </row>
    <row r="370" spans="1:26" ht="14.5">
      <c r="A370" s="509">
        <v>366</v>
      </c>
      <c r="B370" s="524" t="s">
        <v>1150</v>
      </c>
      <c r="C370" s="525" t="s">
        <v>1151</v>
      </c>
      <c r="D370" s="526">
        <v>72.22</v>
      </c>
      <c r="E370" s="527">
        <v>0.08</v>
      </c>
      <c r="F370" s="101">
        <f t="shared" si="80"/>
        <v>1.1077263915812794E-3</v>
      </c>
      <c r="G370" s="102">
        <f t="shared" si="89"/>
        <v>0.11800000000000001</v>
      </c>
      <c r="H370" s="102">
        <f t="shared" si="90"/>
        <v>0.14499999999999999</v>
      </c>
      <c r="I370" s="102">
        <f t="shared" si="91"/>
        <v>0.1003</v>
      </c>
      <c r="J370" s="528">
        <v>180.53899999999999</v>
      </c>
      <c r="K370" s="529">
        <f t="shared" si="81"/>
        <v>13.038526579999999</v>
      </c>
      <c r="L370" s="530">
        <f t="shared" si="92"/>
        <v>3.1988299471000996E-4</v>
      </c>
      <c r="M370" s="531">
        <f t="shared" si="82"/>
        <v>3.5434283545833281E-7</v>
      </c>
      <c r="N370" s="532">
        <f t="shared" si="83"/>
        <v>13.038526579999999</v>
      </c>
      <c r="O370" s="533">
        <f t="shared" si="93"/>
        <v>3.8946502701129861E-4</v>
      </c>
      <c r="P370" s="533">
        <f t="shared" si="84"/>
        <v>4.5956873187333235E-5</v>
      </c>
      <c r="Q370" s="532">
        <f t="shared" si="85"/>
        <v>13.038526579999999</v>
      </c>
      <c r="R370" s="534">
        <f t="shared" si="94"/>
        <v>3.9262808759020707E-4</v>
      </c>
      <c r="S370" s="533">
        <f t="shared" si="86"/>
        <v>5.693107270058002E-5</v>
      </c>
      <c r="T370" s="532">
        <f t="shared" si="87"/>
        <v>13.038526579999999</v>
      </c>
      <c r="U370" s="534">
        <f t="shared" si="95"/>
        <v>3.6366676297536714E-4</v>
      </c>
      <c r="V370" s="533">
        <f t="shared" si="88"/>
        <v>3.6475776326429322E-5</v>
      </c>
      <c r="W370" s="533"/>
      <c r="X370" s="535">
        <v>0.11800000000000001</v>
      </c>
      <c r="Y370" s="535">
        <v>0.14499999999999999</v>
      </c>
      <c r="Z370" s="535">
        <v>0.1003</v>
      </c>
    </row>
    <row r="371" spans="1:26" ht="14.5">
      <c r="A371" s="509">
        <v>367</v>
      </c>
      <c r="B371" s="524" t="s">
        <v>1152</v>
      </c>
      <c r="C371" s="525" t="s">
        <v>1153</v>
      </c>
      <c r="D371" s="526">
        <v>42.03</v>
      </c>
      <c r="E371" s="527">
        <v>1.75</v>
      </c>
      <c r="F371" s="101">
        <f t="shared" si="80"/>
        <v>4.1636926005234352E-2</v>
      </c>
      <c r="G371" s="102" t="str">
        <f t="shared" si="89"/>
        <v>NMF</v>
      </c>
      <c r="H371" s="102">
        <f t="shared" si="90"/>
        <v>7.4999999999999997E-2</v>
      </c>
      <c r="I371" s="102">
        <f t="shared" si="91"/>
        <v>1.3300000000000001E-2</v>
      </c>
      <c r="J371" s="528">
        <v>331.29599999999999</v>
      </c>
      <c r="K371" s="529">
        <f t="shared" si="81"/>
        <v>13.92437088</v>
      </c>
      <c r="L371" s="530">
        <f t="shared" si="92"/>
        <v>3.4161601230154161E-4</v>
      </c>
      <c r="M371" s="531">
        <f t="shared" si="82"/>
        <v>1.4223840626402517E-5</v>
      </c>
      <c r="N371" s="532" t="str">
        <f t="shared" si="83"/>
        <v>--</v>
      </c>
      <c r="O371" s="533" t="str">
        <f t="shared" si="93"/>
        <v>--</v>
      </c>
      <c r="P371" s="533" t="str">
        <f t="shared" si="84"/>
        <v>--</v>
      </c>
      <c r="Q371" s="532">
        <f t="shared" si="85"/>
        <v>13.92437088</v>
      </c>
      <c r="R371" s="534">
        <f t="shared" si="94"/>
        <v>4.1930344475404435E-4</v>
      </c>
      <c r="S371" s="533">
        <f t="shared" si="86"/>
        <v>3.1447758356553328E-5</v>
      </c>
      <c r="T371" s="532">
        <f t="shared" si="87"/>
        <v>13.92437088</v>
      </c>
      <c r="U371" s="534">
        <f t="shared" si="95"/>
        <v>3.8837447263140562E-4</v>
      </c>
      <c r="V371" s="533">
        <f t="shared" si="88"/>
        <v>5.1653804859976955E-6</v>
      </c>
      <c r="W371" s="533"/>
      <c r="X371" s="535">
        <v>0.35719999999999996</v>
      </c>
      <c r="Y371" s="535">
        <v>7.4999999999999997E-2</v>
      </c>
      <c r="Z371" s="535">
        <v>1.3300000000000001E-2</v>
      </c>
    </row>
    <row r="372" spans="1:26" ht="14.5">
      <c r="A372" s="509">
        <v>368</v>
      </c>
      <c r="B372" s="524" t="s">
        <v>1154</v>
      </c>
      <c r="C372" s="525" t="s">
        <v>1155</v>
      </c>
      <c r="D372" s="526">
        <v>183.77</v>
      </c>
      <c r="E372" s="527">
        <v>0.8</v>
      </c>
      <c r="F372" s="101">
        <f t="shared" si="80"/>
        <v>4.3532676715459543E-3</v>
      </c>
      <c r="G372" s="102">
        <f t="shared" si="89"/>
        <v>0.19800000000000001</v>
      </c>
      <c r="H372" s="102">
        <f t="shared" si="90"/>
        <v>0.125</v>
      </c>
      <c r="I372" s="102">
        <f t="shared" si="91"/>
        <v>0.12609999999999999</v>
      </c>
      <c r="J372" s="528">
        <v>65.203000000000003</v>
      </c>
      <c r="K372" s="529">
        <f t="shared" si="81"/>
        <v>11.982355310000001</v>
      </c>
      <c r="L372" s="530">
        <f t="shared" si="92"/>
        <v>2.9397123031689909E-4</v>
      </c>
      <c r="M372" s="531">
        <f t="shared" si="82"/>
        <v>1.2797354533031467E-6</v>
      </c>
      <c r="N372" s="532">
        <f t="shared" si="83"/>
        <v>11.982355310000001</v>
      </c>
      <c r="O372" s="533">
        <f t="shared" si="93"/>
        <v>3.579168478765434E-4</v>
      </c>
      <c r="P372" s="533">
        <f t="shared" si="84"/>
        <v>7.0867535879555598E-5</v>
      </c>
      <c r="Q372" s="532">
        <f t="shared" si="85"/>
        <v>11.982355310000001</v>
      </c>
      <c r="R372" s="534">
        <f t="shared" si="94"/>
        <v>3.60823688269205E-4</v>
      </c>
      <c r="S372" s="533">
        <f t="shared" si="86"/>
        <v>4.5102961033650625E-5</v>
      </c>
      <c r="T372" s="532">
        <f t="shared" si="87"/>
        <v>11.982355310000001</v>
      </c>
      <c r="U372" s="534">
        <f t="shared" si="95"/>
        <v>3.342083433792718E-4</v>
      </c>
      <c r="V372" s="533">
        <f t="shared" si="88"/>
        <v>4.214367210012617E-5</v>
      </c>
      <c r="W372" s="533"/>
      <c r="X372" s="535">
        <v>0.19800000000000001</v>
      </c>
      <c r="Y372" s="535">
        <v>0.125</v>
      </c>
      <c r="Z372" s="535">
        <v>0.12609999999999999</v>
      </c>
    </row>
    <row r="373" spans="1:26" ht="14.5">
      <c r="A373" s="509">
        <v>369</v>
      </c>
      <c r="B373" s="524" t="s">
        <v>1156</v>
      </c>
      <c r="C373" s="525" t="s">
        <v>444</v>
      </c>
      <c r="D373" s="526">
        <v>385.55</v>
      </c>
      <c r="E373" s="527">
        <v>8.4</v>
      </c>
      <c r="F373" s="101">
        <f t="shared" si="80"/>
        <v>2.1787057450395539E-2</v>
      </c>
      <c r="G373" s="102">
        <f t="shared" si="89"/>
        <v>9.4819999999999988E-2</v>
      </c>
      <c r="H373" s="102">
        <f t="shared" si="90"/>
        <v>0.105</v>
      </c>
      <c r="I373" s="102">
        <f t="shared" si="91"/>
        <v>0.10920000000000001</v>
      </c>
      <c r="J373" s="528">
        <v>910.22400000000005</v>
      </c>
      <c r="K373" s="529">
        <f t="shared" si="81"/>
        <v>350.9368632</v>
      </c>
      <c r="L373" s="530">
        <f t="shared" si="92"/>
        <v>8.6097715156518168E-3</v>
      </c>
      <c r="M373" s="531">
        <f t="shared" si="82"/>
        <v>1.8758158664628521E-4</v>
      </c>
      <c r="N373" s="532">
        <f t="shared" si="83"/>
        <v>350.9368632</v>
      </c>
      <c r="O373" s="533">
        <f t="shared" si="93"/>
        <v>1.0482598172948497E-2</v>
      </c>
      <c r="P373" s="533">
        <f t="shared" si="84"/>
        <v>9.9395995875897628E-4</v>
      </c>
      <c r="Q373" s="532">
        <f t="shared" si="85"/>
        <v>350.9368632</v>
      </c>
      <c r="R373" s="534">
        <f t="shared" si="94"/>
        <v>1.0567733142061986E-2</v>
      </c>
      <c r="S373" s="533">
        <f t="shared" si="86"/>
        <v>1.1096119799165085E-3</v>
      </c>
      <c r="T373" s="532">
        <f t="shared" si="87"/>
        <v>350.9368632</v>
      </c>
      <c r="U373" s="534">
        <f t="shared" si="95"/>
        <v>9.788228161028395E-3</v>
      </c>
      <c r="V373" s="533">
        <f t="shared" si="88"/>
        <v>1.0688745151843009E-3</v>
      </c>
      <c r="W373" s="533"/>
      <c r="X373" s="535">
        <v>9.4819999999999988E-2</v>
      </c>
      <c r="Y373" s="535">
        <v>0.105</v>
      </c>
      <c r="Z373" s="535">
        <v>0.10920000000000001</v>
      </c>
    </row>
    <row r="374" spans="1:26" ht="14.5">
      <c r="A374" s="509">
        <v>370</v>
      </c>
      <c r="B374" s="524" t="s">
        <v>1157</v>
      </c>
      <c r="C374" s="525" t="s">
        <v>1158</v>
      </c>
      <c r="D374" s="526">
        <v>216.84</v>
      </c>
      <c r="E374" s="527">
        <v>5.36</v>
      </c>
      <c r="F374" s="101">
        <f t="shared" si="80"/>
        <v>2.4718686589190186E-2</v>
      </c>
      <c r="G374" s="102">
        <f t="shared" si="89"/>
        <v>8.005000000000001E-2</v>
      </c>
      <c r="H374" s="102">
        <f t="shared" si="90"/>
        <v>0.06</v>
      </c>
      <c r="I374" s="102">
        <f t="shared" si="91"/>
        <v>8.6300000000000002E-2</v>
      </c>
      <c r="J374" s="528">
        <v>597.476</v>
      </c>
      <c r="K374" s="529">
        <f t="shared" si="81"/>
        <v>129.55669584</v>
      </c>
      <c r="L374" s="530">
        <f t="shared" si="92"/>
        <v>3.1785020796447302E-3</v>
      </c>
      <c r="M374" s="531">
        <f t="shared" si="82"/>
        <v>7.8568396729827305E-5</v>
      </c>
      <c r="N374" s="532">
        <f t="shared" si="83"/>
        <v>129.55669584</v>
      </c>
      <c r="O374" s="533">
        <f t="shared" si="93"/>
        <v>3.8699006160878803E-3</v>
      </c>
      <c r="P374" s="533">
        <f t="shared" si="84"/>
        <v>3.0978554431783487E-4</v>
      </c>
      <c r="Q374" s="532">
        <f t="shared" si="85"/>
        <v>129.55669584</v>
      </c>
      <c r="R374" s="534">
        <f t="shared" si="94"/>
        <v>3.9013302162678371E-3</v>
      </c>
      <c r="S374" s="533">
        <f t="shared" si="86"/>
        <v>2.3407981297607022E-4</v>
      </c>
      <c r="T374" s="532">
        <f t="shared" si="87"/>
        <v>129.55669584</v>
      </c>
      <c r="U374" s="534">
        <f t="shared" si="95"/>
        <v>3.613557399207067E-3</v>
      </c>
      <c r="V374" s="533">
        <f t="shared" si="88"/>
        <v>3.1185000355156986E-4</v>
      </c>
      <c r="W374" s="533"/>
      <c r="X374" s="535">
        <v>8.005000000000001E-2</v>
      </c>
      <c r="Y374" s="535">
        <v>0.06</v>
      </c>
      <c r="Z374" s="535">
        <v>8.6300000000000002E-2</v>
      </c>
    </row>
    <row r="375" spans="1:26" ht="14.5">
      <c r="A375" s="509">
        <v>371</v>
      </c>
      <c r="B375" s="524" t="s">
        <v>1159</v>
      </c>
      <c r="C375" s="525" t="s">
        <v>1160</v>
      </c>
      <c r="D375" s="526">
        <v>96.95</v>
      </c>
      <c r="E375" s="527">
        <v>6.56</v>
      </c>
      <c r="F375" s="101">
        <f t="shared" si="80"/>
        <v>6.7663744198040221E-2</v>
      </c>
      <c r="G375" s="102" t="str">
        <f t="shared" si="89"/>
        <v>NMF</v>
      </c>
      <c r="H375" s="102">
        <f t="shared" si="90"/>
        <v>2.5000000000000001E-2</v>
      </c>
      <c r="I375" s="102">
        <f t="shared" si="91"/>
        <v>8.0500000000000002E-2</v>
      </c>
      <c r="J375" s="528">
        <v>847.53200000000004</v>
      </c>
      <c r="K375" s="529">
        <f t="shared" si="81"/>
        <v>82.168227400000006</v>
      </c>
      <c r="L375" s="530">
        <f t="shared" si="92"/>
        <v>2.015888719438811E-3</v>
      </c>
      <c r="M375" s="531">
        <f t="shared" si="82"/>
        <v>1.3640257864382257E-4</v>
      </c>
      <c r="N375" s="532" t="str">
        <f t="shared" si="83"/>
        <v>--</v>
      </c>
      <c r="O375" s="533" t="str">
        <f t="shared" si="93"/>
        <v>--</v>
      </c>
      <c r="P375" s="533" t="str">
        <f t="shared" si="84"/>
        <v>--</v>
      </c>
      <c r="Q375" s="532">
        <f t="shared" si="85"/>
        <v>82.168227400000006</v>
      </c>
      <c r="R375" s="534">
        <f t="shared" si="94"/>
        <v>2.4743251307418248E-3</v>
      </c>
      <c r="S375" s="533">
        <f t="shared" si="86"/>
        <v>6.1858128268545623E-5</v>
      </c>
      <c r="T375" s="532">
        <f t="shared" si="87"/>
        <v>82.168227400000006</v>
      </c>
      <c r="U375" s="534">
        <f t="shared" si="95"/>
        <v>2.2918121226840242E-3</v>
      </c>
      <c r="V375" s="533">
        <f t="shared" si="88"/>
        <v>1.8449087587606397E-4</v>
      </c>
      <c r="W375" s="533"/>
      <c r="X375" s="535">
        <v>-1.2E-2</v>
      </c>
      <c r="Y375" s="535">
        <v>2.5000000000000001E-2</v>
      </c>
      <c r="Z375" s="535">
        <v>8.0500000000000002E-2</v>
      </c>
    </row>
    <row r="376" spans="1:26" ht="14.5">
      <c r="A376" s="509">
        <v>372</v>
      </c>
      <c r="B376" s="524" t="s">
        <v>1161</v>
      </c>
      <c r="C376" s="525" t="s">
        <v>1162</v>
      </c>
      <c r="D376" s="526">
        <v>670</v>
      </c>
      <c r="E376" s="527">
        <v>6.52</v>
      </c>
      <c r="F376" s="101">
        <f t="shared" si="80"/>
        <v>9.7313432835820883E-3</v>
      </c>
      <c r="G376" s="102">
        <f t="shared" si="89"/>
        <v>9.0999999999999998E-2</v>
      </c>
      <c r="H376" s="102">
        <f t="shared" si="90"/>
        <v>9.5000000000000001E-2</v>
      </c>
      <c r="I376" s="102">
        <f t="shared" si="91"/>
        <v>9.3800000000000008E-2</v>
      </c>
      <c r="J376" s="528">
        <v>64.998999999999995</v>
      </c>
      <c r="K376" s="529">
        <f t="shared" si="81"/>
        <v>43.549329999999998</v>
      </c>
      <c r="L376" s="530">
        <f t="shared" si="92"/>
        <v>1.0684251792210159E-3</v>
      </c>
      <c r="M376" s="531">
        <f t="shared" si="82"/>
        <v>1.0397212191822422E-5</v>
      </c>
      <c r="N376" s="532">
        <f t="shared" si="83"/>
        <v>43.549329999999998</v>
      </c>
      <c r="O376" s="533">
        <f t="shared" si="93"/>
        <v>1.300832642454448E-3</v>
      </c>
      <c r="P376" s="533">
        <f t="shared" si="84"/>
        <v>1.1837577046335477E-4</v>
      </c>
      <c r="Q376" s="532">
        <f t="shared" si="85"/>
        <v>43.549329999999998</v>
      </c>
      <c r="R376" s="534">
        <f t="shared" si="94"/>
        <v>1.3113974227703597E-3</v>
      </c>
      <c r="S376" s="533">
        <f t="shared" si="86"/>
        <v>1.2458275516318416E-4</v>
      </c>
      <c r="T376" s="532">
        <f t="shared" si="87"/>
        <v>43.549329999999998</v>
      </c>
      <c r="U376" s="534">
        <f t="shared" si="95"/>
        <v>1.2146651520532502E-3</v>
      </c>
      <c r="V376" s="533">
        <f t="shared" si="88"/>
        <v>1.1393559126259487E-4</v>
      </c>
      <c r="W376" s="533"/>
      <c r="X376" s="535">
        <v>9.0999999999999998E-2</v>
      </c>
      <c r="Y376" s="535">
        <v>9.5000000000000001E-2</v>
      </c>
      <c r="Z376" s="535">
        <v>9.3800000000000008E-2</v>
      </c>
    </row>
    <row r="377" spans="1:26" ht="14.5">
      <c r="A377" s="509">
        <v>373</v>
      </c>
      <c r="B377" s="524" t="s">
        <v>1163</v>
      </c>
      <c r="C377" s="525" t="s">
        <v>1164</v>
      </c>
      <c r="D377" s="526">
        <v>42.14</v>
      </c>
      <c r="E377" s="527">
        <v>2.02</v>
      </c>
      <c r="F377" s="101">
        <f t="shared" si="80"/>
        <v>4.7935453251067871E-2</v>
      </c>
      <c r="G377" s="102">
        <f t="shared" si="89"/>
        <v>6.7750000000000005E-2</v>
      </c>
      <c r="H377" s="102">
        <f t="shared" si="90"/>
        <v>0.04</v>
      </c>
      <c r="I377" s="102">
        <f t="shared" si="91"/>
        <v>6.1799999999999994E-2</v>
      </c>
      <c r="J377" s="528">
        <v>1558.028</v>
      </c>
      <c r="K377" s="529">
        <f t="shared" si="81"/>
        <v>65.655299920000004</v>
      </c>
      <c r="L377" s="530">
        <f t="shared" si="92"/>
        <v>1.6107658966012922E-3</v>
      </c>
      <c r="M377" s="531">
        <f t="shared" si="82"/>
        <v>7.7212793334945662E-5</v>
      </c>
      <c r="N377" s="532">
        <f t="shared" si="83"/>
        <v>65.655299920000004</v>
      </c>
      <c r="O377" s="533">
        <f t="shared" si="93"/>
        <v>1.9611451493300337E-3</v>
      </c>
      <c r="P377" s="533">
        <f t="shared" si="84"/>
        <v>1.328675838671098E-4</v>
      </c>
      <c r="Q377" s="532">
        <f t="shared" si="85"/>
        <v>65.655299920000004</v>
      </c>
      <c r="R377" s="534">
        <f t="shared" si="94"/>
        <v>1.9770726921930376E-3</v>
      </c>
      <c r="S377" s="533">
        <f t="shared" si="86"/>
        <v>7.9082907687721507E-5</v>
      </c>
      <c r="T377" s="532">
        <f t="shared" si="87"/>
        <v>65.655299920000004</v>
      </c>
      <c r="U377" s="534">
        <f t="shared" si="95"/>
        <v>1.8312383878334882E-3</v>
      </c>
      <c r="V377" s="533">
        <f t="shared" si="88"/>
        <v>1.1317053236810956E-4</v>
      </c>
      <c r="W377" s="533"/>
      <c r="X377" s="535">
        <v>6.7750000000000005E-2</v>
      </c>
      <c r="Y377" s="535">
        <v>0.04</v>
      </c>
      <c r="Z377" s="535">
        <v>6.1799999999999994E-2</v>
      </c>
    </row>
    <row r="378" spans="1:26" ht="14.5">
      <c r="A378" s="509">
        <v>374</v>
      </c>
      <c r="B378" s="524" t="s">
        <v>1165</v>
      </c>
      <c r="C378" s="525" t="s">
        <v>1166</v>
      </c>
      <c r="D378" s="526">
        <v>351.27</v>
      </c>
      <c r="E378" s="527">
        <v>2.5</v>
      </c>
      <c r="F378" s="101">
        <f t="shared" si="80"/>
        <v>7.117032482136249E-3</v>
      </c>
      <c r="G378" s="102">
        <f t="shared" si="89"/>
        <v>0.13140000000000002</v>
      </c>
      <c r="H378" s="102">
        <f t="shared" si="90"/>
        <v>0.105</v>
      </c>
      <c r="I378" s="102">
        <f t="shared" si="91"/>
        <v>0.13100000000000001</v>
      </c>
      <c r="J378" s="528">
        <v>1939.1590000000001</v>
      </c>
      <c r="K378" s="529">
        <f t="shared" si="81"/>
        <v>681.16838193000001</v>
      </c>
      <c r="L378" s="530">
        <f t="shared" si="92"/>
        <v>1.6711564805778865E-2</v>
      </c>
      <c r="M378" s="531">
        <f t="shared" si="82"/>
        <v>1.1893674955005314E-4</v>
      </c>
      <c r="N378" s="532">
        <f t="shared" si="83"/>
        <v>681.16838193000001</v>
      </c>
      <c r="O378" s="533">
        <f t="shared" si="93"/>
        <v>2.0346720976474785E-2</v>
      </c>
      <c r="P378" s="533">
        <f t="shared" si="84"/>
        <v>2.673559136308787E-3</v>
      </c>
      <c r="Q378" s="532">
        <f t="shared" si="85"/>
        <v>681.16838193000001</v>
      </c>
      <c r="R378" s="534">
        <f t="shared" si="94"/>
        <v>2.0511967934653833E-2</v>
      </c>
      <c r="S378" s="533">
        <f t="shared" si="86"/>
        <v>2.1537566331386523E-3</v>
      </c>
      <c r="T378" s="532">
        <f t="shared" si="87"/>
        <v>681.16838193000001</v>
      </c>
      <c r="U378" s="534">
        <f t="shared" si="95"/>
        <v>1.8998948920933342E-2</v>
      </c>
      <c r="V378" s="533">
        <f t="shared" si="88"/>
        <v>2.4888623086422677E-3</v>
      </c>
      <c r="W378" s="533"/>
      <c r="X378" s="535">
        <v>0.13140000000000002</v>
      </c>
      <c r="Y378" s="535">
        <v>0.105</v>
      </c>
      <c r="Z378" s="535">
        <v>0.13100000000000001</v>
      </c>
    </row>
    <row r="379" spans="1:26" ht="14.5">
      <c r="A379" s="509">
        <v>375</v>
      </c>
      <c r="B379" s="524" t="s">
        <v>1167</v>
      </c>
      <c r="C379" s="525" t="s">
        <v>1168</v>
      </c>
      <c r="D379" s="526">
        <v>31.58</v>
      </c>
      <c r="E379" s="527">
        <v>1.73</v>
      </c>
      <c r="F379" s="101">
        <f t="shared" si="80"/>
        <v>5.4781507283090565E-2</v>
      </c>
      <c r="G379" s="102" t="str">
        <f t="shared" si="89"/>
        <v>NMF</v>
      </c>
      <c r="H379" s="102">
        <f t="shared" si="90"/>
        <v>9.5000000000000001E-2</v>
      </c>
      <c r="I379" s="102">
        <f t="shared" si="91"/>
        <v>4.5899999999999996E-2</v>
      </c>
      <c r="J379" s="528">
        <v>1056.7070000000001</v>
      </c>
      <c r="K379" s="529">
        <f t="shared" si="81"/>
        <v>33.370807059999997</v>
      </c>
      <c r="L379" s="530">
        <f t="shared" si="92"/>
        <v>8.1870858894569529E-4</v>
      </c>
      <c r="M379" s="531">
        <f t="shared" si="82"/>
        <v>4.4850090528057407E-5</v>
      </c>
      <c r="N379" s="532" t="str">
        <f t="shared" si="83"/>
        <v>--</v>
      </c>
      <c r="O379" s="533" t="str">
        <f t="shared" si="93"/>
        <v>--</v>
      </c>
      <c r="P379" s="533" t="str">
        <f t="shared" si="84"/>
        <v>--</v>
      </c>
      <c r="Q379" s="532">
        <f t="shared" si="85"/>
        <v>33.370807059999997</v>
      </c>
      <c r="R379" s="534">
        <f t="shared" si="94"/>
        <v>1.0048923915534618E-3</v>
      </c>
      <c r="S379" s="533">
        <f t="shared" si="86"/>
        <v>9.546477719757887E-5</v>
      </c>
      <c r="T379" s="532">
        <f t="shared" si="87"/>
        <v>33.370807059999997</v>
      </c>
      <c r="U379" s="534">
        <f t="shared" si="95"/>
        <v>9.3076877260051016E-4</v>
      </c>
      <c r="V379" s="533">
        <f t="shared" si="88"/>
        <v>4.2722286662363411E-5</v>
      </c>
      <c r="W379" s="533"/>
      <c r="X379" s="535" t="s">
        <v>36</v>
      </c>
      <c r="Y379" s="535">
        <v>9.5000000000000001E-2</v>
      </c>
      <c r="Z379" s="535">
        <v>4.5899999999999996E-2</v>
      </c>
    </row>
    <row r="380" spans="1:26" ht="14.5">
      <c r="A380" s="509">
        <v>376</v>
      </c>
      <c r="B380" s="524" t="s">
        <v>1169</v>
      </c>
      <c r="C380" s="525" t="s">
        <v>1170</v>
      </c>
      <c r="D380" s="526">
        <v>121.73</v>
      </c>
      <c r="E380" s="527">
        <v>4.5199999999999996</v>
      </c>
      <c r="F380" s="101">
        <f t="shared" si="80"/>
        <v>3.7131356280292446E-2</v>
      </c>
      <c r="G380" s="102">
        <f t="shared" si="89"/>
        <v>0.19</v>
      </c>
      <c r="H380" s="102" t="str">
        <f t="shared" si="90"/>
        <v>NMF</v>
      </c>
      <c r="I380" s="102">
        <f t="shared" si="91"/>
        <v>5.3399999999999996E-2</v>
      </c>
      <c r="J380" s="528">
        <v>313.20600000000002</v>
      </c>
      <c r="K380" s="529">
        <f t="shared" si="81"/>
        <v>38.126566380000007</v>
      </c>
      <c r="L380" s="530">
        <f t="shared" si="92"/>
        <v>9.3538485018330856E-4</v>
      </c>
      <c r="M380" s="531">
        <f t="shared" si="82"/>
        <v>3.4732108131344406E-5</v>
      </c>
      <c r="N380" s="532">
        <f t="shared" si="83"/>
        <v>38.126566380000007</v>
      </c>
      <c r="O380" s="533">
        <f t="shared" si="93"/>
        <v>1.1388529304999717E-3</v>
      </c>
      <c r="P380" s="533">
        <f t="shared" si="84"/>
        <v>2.1638205679499461E-4</v>
      </c>
      <c r="Q380" s="532" t="str">
        <f t="shared" si="85"/>
        <v>--</v>
      </c>
      <c r="R380" s="534" t="str">
        <f t="shared" si="94"/>
        <v>--</v>
      </c>
      <c r="S380" s="533" t="str">
        <f t="shared" si="86"/>
        <v>--</v>
      </c>
      <c r="T380" s="532">
        <f t="shared" si="87"/>
        <v>38.126566380000007</v>
      </c>
      <c r="U380" s="534">
        <f t="shared" si="95"/>
        <v>1.0634150180779142E-3</v>
      </c>
      <c r="V380" s="533">
        <f t="shared" si="88"/>
        <v>5.6786361965360613E-5</v>
      </c>
      <c r="W380" s="533"/>
      <c r="X380" s="535">
        <v>0.19</v>
      </c>
      <c r="Y380" s="535">
        <v>-0.05</v>
      </c>
      <c r="Z380" s="535">
        <v>5.3399999999999996E-2</v>
      </c>
    </row>
    <row r="381" spans="1:26" ht="14.5">
      <c r="A381" s="509">
        <v>377</v>
      </c>
      <c r="B381" s="524" t="s">
        <v>1355</v>
      </c>
      <c r="C381" s="525" t="s">
        <v>1356</v>
      </c>
      <c r="D381" s="526">
        <v>97.28</v>
      </c>
      <c r="E381" s="527">
        <v>0.44</v>
      </c>
      <c r="F381" s="101">
        <f t="shared" si="80"/>
        <v>4.5230263157894739E-3</v>
      </c>
      <c r="G381" s="102">
        <f t="shared" si="89"/>
        <v>6.2800000000000009E-2</v>
      </c>
      <c r="H381" s="102" t="str">
        <f t="shared" si="90"/>
        <v>NMF</v>
      </c>
      <c r="I381" s="102">
        <f t="shared" si="91"/>
        <v>6.2800000000000009E-2</v>
      </c>
      <c r="J381" s="528">
        <v>247.86099999999999</v>
      </c>
      <c r="K381" s="529">
        <f t="shared" si="81"/>
        <v>24.111918079999999</v>
      </c>
      <c r="L381" s="530">
        <f t="shared" si="92"/>
        <v>5.9155400085343342E-4</v>
      </c>
      <c r="M381" s="531">
        <f t="shared" si="82"/>
        <v>2.6756143130706281E-6</v>
      </c>
      <c r="N381" s="532">
        <f t="shared" si="83"/>
        <v>24.111918079999999</v>
      </c>
      <c r="O381" s="533">
        <f t="shared" si="93"/>
        <v>7.2023083043187071E-4</v>
      </c>
      <c r="P381" s="533">
        <f t="shared" si="84"/>
        <v>4.5230496151121488E-5</v>
      </c>
      <c r="Q381" s="532" t="str">
        <f t="shared" si="85"/>
        <v>--</v>
      </c>
      <c r="R381" s="534" t="str">
        <f t="shared" si="94"/>
        <v>--</v>
      </c>
      <c r="S381" s="533" t="str">
        <f t="shared" si="86"/>
        <v>--</v>
      </c>
      <c r="T381" s="532">
        <f t="shared" si="87"/>
        <v>24.111918079999999</v>
      </c>
      <c r="U381" s="534">
        <f t="shared" si="95"/>
        <v>6.725225540998843E-4</v>
      </c>
      <c r="V381" s="533">
        <f t="shared" si="88"/>
        <v>4.2234416397472739E-5</v>
      </c>
      <c r="W381" s="533"/>
      <c r="X381" s="535">
        <v>6.2800000000000009E-2</v>
      </c>
      <c r="Y381" s="535" t="s">
        <v>36</v>
      </c>
      <c r="Z381" s="535">
        <v>6.2800000000000009E-2</v>
      </c>
    </row>
    <row r="382" spans="1:26" ht="14.5">
      <c r="A382" s="509">
        <v>378</v>
      </c>
      <c r="B382" s="524" t="s">
        <v>1171</v>
      </c>
      <c r="C382" s="525" t="s">
        <v>1172</v>
      </c>
      <c r="D382" s="526">
        <v>268.42</v>
      </c>
      <c r="E382" s="527">
        <v>1.96</v>
      </c>
      <c r="F382" s="101">
        <f t="shared" si="80"/>
        <v>7.3019894195663505E-3</v>
      </c>
      <c r="G382" s="102">
        <f t="shared" si="89"/>
        <v>0.13100000000000001</v>
      </c>
      <c r="H382" s="102">
        <f t="shared" si="90"/>
        <v>7.4999999999999997E-2</v>
      </c>
      <c r="I382" s="102">
        <f t="shared" si="91"/>
        <v>0.13070000000000001</v>
      </c>
      <c r="J382" s="528">
        <v>132.10400000000001</v>
      </c>
      <c r="K382" s="529">
        <f t="shared" si="81"/>
        <v>35.459355680000009</v>
      </c>
      <c r="L382" s="530">
        <f t="shared" si="92"/>
        <v>8.6994836539312445E-4</v>
      </c>
      <c r="M382" s="531">
        <f t="shared" si="82"/>
        <v>6.3523537596696363E-6</v>
      </c>
      <c r="N382" s="532">
        <f t="shared" si="83"/>
        <v>35.459355680000009</v>
      </c>
      <c r="O382" s="533">
        <f t="shared" si="93"/>
        <v>1.0591824799358923E-3</v>
      </c>
      <c r="P382" s="533">
        <f t="shared" si="84"/>
        <v>1.387529048716019E-4</v>
      </c>
      <c r="Q382" s="532">
        <f t="shared" si="85"/>
        <v>35.459355680000009</v>
      </c>
      <c r="R382" s="534">
        <f t="shared" si="94"/>
        <v>1.0677846858229399E-3</v>
      </c>
      <c r="S382" s="533">
        <f t="shared" si="86"/>
        <v>8.0083851436720484E-5</v>
      </c>
      <c r="T382" s="532">
        <f t="shared" si="87"/>
        <v>35.459355680000009</v>
      </c>
      <c r="U382" s="534">
        <f t="shared" si="95"/>
        <v>9.8902195874787263E-4</v>
      </c>
      <c r="V382" s="533">
        <f t="shared" si="88"/>
        <v>1.2926517000834696E-4</v>
      </c>
      <c r="W382" s="533"/>
      <c r="X382" s="535">
        <v>0.13100000000000001</v>
      </c>
      <c r="Y382" s="535">
        <v>7.4999999999999997E-2</v>
      </c>
      <c r="Z382" s="535">
        <v>0.13070000000000001</v>
      </c>
    </row>
    <row r="383" spans="1:26" ht="14.5">
      <c r="A383" s="509">
        <v>379</v>
      </c>
      <c r="B383" s="524" t="s">
        <v>1357</v>
      </c>
      <c r="C383" s="525" t="s">
        <v>1173</v>
      </c>
      <c r="D383" s="526">
        <v>307.85000000000002</v>
      </c>
      <c r="E383" s="527">
        <v>1.8</v>
      </c>
      <c r="F383" s="101">
        <f t="shared" ref="F383:F403" si="96">E383/D383</f>
        <v>5.8470034107519896E-3</v>
      </c>
      <c r="G383" s="102">
        <f t="shared" si="89"/>
        <v>0.11085</v>
      </c>
      <c r="H383" s="102">
        <f t="shared" si="90"/>
        <v>0.105</v>
      </c>
      <c r="I383" s="102">
        <f t="shared" si="91"/>
        <v>0.10980000000000001</v>
      </c>
      <c r="J383" s="528">
        <v>139.94499999999999</v>
      </c>
      <c r="K383" s="529">
        <f t="shared" ref="K383:K406" si="97">J383*D383/1000</f>
        <v>43.082068250000006</v>
      </c>
      <c r="L383" s="530">
        <f t="shared" si="92"/>
        <v>1.0569615305497993E-3</v>
      </c>
      <c r="M383" s="531">
        <f t="shared" ref="M383:M406" si="98">F383*L383</f>
        <v>6.1800576741583197E-6</v>
      </c>
      <c r="N383" s="532">
        <f t="shared" ref="N383:N406" si="99">IF(G383="n/a","--",IF(G383="NMF","--",$K383))</f>
        <v>43.082068250000006</v>
      </c>
      <c r="O383" s="533">
        <f t="shared" si="93"/>
        <v>1.2868753821023283E-3</v>
      </c>
      <c r="P383" s="533">
        <f t="shared" ref="P383:P406" si="100">IF(O383="--","--",G383*O383)</f>
        <v>1.426501361060431E-4</v>
      </c>
      <c r="Q383" s="532">
        <f t="shared" ref="Q383:Q406" si="101">IF(H383="n/a","--",IF(H383="NMF","--",$K383))</f>
        <v>43.082068250000006</v>
      </c>
      <c r="R383" s="534">
        <f t="shared" si="94"/>
        <v>1.2973268077985758E-3</v>
      </c>
      <c r="S383" s="533">
        <f t="shared" ref="S383:S406" si="102">IF(R383="--","--",H383*R383)</f>
        <v>1.3621931481885044E-4</v>
      </c>
      <c r="T383" s="532">
        <f t="shared" ref="T383:T406" si="103">IF(I383="n/a","--",IF(I383="NMF","--",$K383))</f>
        <v>43.082068250000006</v>
      </c>
      <c r="U383" s="534">
        <f t="shared" si="95"/>
        <v>1.2016324242337315E-3</v>
      </c>
      <c r="V383" s="533">
        <f t="shared" ref="V383:V406" si="104">IF(U383="--","--",I383*U383)</f>
        <v>1.3193924018086372E-4</v>
      </c>
      <c r="W383" s="533"/>
      <c r="X383" s="535">
        <v>0.11085</v>
      </c>
      <c r="Y383" s="535">
        <v>0.105</v>
      </c>
      <c r="Z383" s="535">
        <v>0.10980000000000001</v>
      </c>
    </row>
    <row r="384" spans="1:26" ht="14.5">
      <c r="A384" s="509">
        <v>380</v>
      </c>
      <c r="B384" s="524" t="s">
        <v>1358</v>
      </c>
      <c r="C384" s="525" t="s">
        <v>1359</v>
      </c>
      <c r="D384" s="526">
        <v>140.91</v>
      </c>
      <c r="E384" s="527">
        <v>0.89</v>
      </c>
      <c r="F384" s="101">
        <f t="shared" ref="F384:F400" si="105">E384/D384</f>
        <v>6.3160882833013981E-3</v>
      </c>
      <c r="G384" s="102">
        <f t="shared" si="89"/>
        <v>0.05</v>
      </c>
      <c r="H384" s="102" t="str">
        <f t="shared" si="90"/>
        <v>NMF</v>
      </c>
      <c r="I384" s="102">
        <f t="shared" si="91"/>
        <v>0.1118</v>
      </c>
      <c r="J384" s="528">
        <v>340.15699999999998</v>
      </c>
      <c r="K384" s="529">
        <f t="shared" ref="K384:K403" si="106">J384*D384/1000</f>
        <v>47.931522869999995</v>
      </c>
      <c r="L384" s="530">
        <f t="shared" si="92"/>
        <v>1.1759364819783902E-3</v>
      </c>
      <c r="M384" s="531">
        <f t="shared" ref="M384:M403" si="107">F384*L384</f>
        <v>7.4273186357303761E-6</v>
      </c>
      <c r="N384" s="532">
        <f t="shared" ref="N384:N403" si="108">IF(G384="n/a","--",IF(G384="NMF","--",$K384))</f>
        <v>47.931522869999995</v>
      </c>
      <c r="O384" s="533">
        <f t="shared" si="93"/>
        <v>1.431730167877391E-3</v>
      </c>
      <c r="P384" s="533">
        <f t="shared" ref="P384:P403" si="109">IF(O384="--","--",G384*O384)</f>
        <v>7.1586508393869553E-5</v>
      </c>
      <c r="Q384" s="532" t="str">
        <f t="shared" ref="Q384:Q403" si="110">IF(H384="n/a","--",IF(H384="NMF","--",$K384))</f>
        <v>--</v>
      </c>
      <c r="R384" s="534" t="str">
        <f t="shared" si="94"/>
        <v>--</v>
      </c>
      <c r="S384" s="533" t="str">
        <f t="shared" ref="S384:S403" si="111">IF(R384="--","--",H384*R384)</f>
        <v>--</v>
      </c>
      <c r="T384" s="532">
        <f t="shared" ref="T384:T403" si="112">IF(I384="n/a","--",IF(I384="NMF","--",$K384))</f>
        <v>47.931522869999995</v>
      </c>
      <c r="U384" s="534">
        <f t="shared" si="95"/>
        <v>1.3368919915652522E-3</v>
      </c>
      <c r="V384" s="533">
        <f t="shared" ref="V384:V403" si="113">IF(U384="--","--",I384*U384)</f>
        <v>1.4946452465699518E-4</v>
      </c>
      <c r="W384" s="533"/>
      <c r="X384" s="535">
        <v>0.05</v>
      </c>
      <c r="Y384" s="535" t="s">
        <v>36</v>
      </c>
      <c r="Z384" s="535">
        <v>0.1118</v>
      </c>
    </row>
    <row r="385" spans="1:26" ht="14.5">
      <c r="A385" s="509">
        <v>381</v>
      </c>
      <c r="B385" s="524" t="s">
        <v>1174</v>
      </c>
      <c r="C385" s="525" t="s">
        <v>1175</v>
      </c>
      <c r="D385" s="526">
        <v>65.58</v>
      </c>
      <c r="E385" s="527">
        <v>1.94</v>
      </c>
      <c r="F385" s="101">
        <f t="shared" si="105"/>
        <v>2.958218969197926E-2</v>
      </c>
      <c r="G385" s="102" t="str">
        <f t="shared" si="89"/>
        <v>NMF</v>
      </c>
      <c r="H385" s="102" t="str">
        <f t="shared" si="90"/>
        <v>NMF</v>
      </c>
      <c r="I385" s="102">
        <f t="shared" si="91"/>
        <v>7.5899999999999995E-2</v>
      </c>
      <c r="J385" s="528">
        <v>451.298</v>
      </c>
      <c r="K385" s="529">
        <f t="shared" si="106"/>
        <v>29.59612284</v>
      </c>
      <c r="L385" s="530">
        <f t="shared" si="92"/>
        <v>7.2610170695104148E-4</v>
      </c>
      <c r="M385" s="531">
        <f t="shared" si="107"/>
        <v>2.1479678430695644E-5</v>
      </c>
      <c r="N385" s="532" t="str">
        <f t="shared" si="108"/>
        <v>--</v>
      </c>
      <c r="O385" s="533" t="str">
        <f t="shared" si="93"/>
        <v>--</v>
      </c>
      <c r="P385" s="533" t="str">
        <f t="shared" si="109"/>
        <v>--</v>
      </c>
      <c r="Q385" s="532" t="str">
        <f t="shared" si="110"/>
        <v>--</v>
      </c>
      <c r="R385" s="534" t="str">
        <f t="shared" si="94"/>
        <v>--</v>
      </c>
      <c r="S385" s="533" t="str">
        <f t="shared" si="111"/>
        <v>--</v>
      </c>
      <c r="T385" s="532">
        <f t="shared" si="112"/>
        <v>29.59612284</v>
      </c>
      <c r="U385" s="534">
        <f t="shared" si="95"/>
        <v>8.2548638634934851E-4</v>
      </c>
      <c r="V385" s="533">
        <f t="shared" si="113"/>
        <v>6.2654416723915548E-5</v>
      </c>
      <c r="W385" s="533"/>
      <c r="X385" s="535" t="s">
        <v>36</v>
      </c>
      <c r="Y385" s="535" t="s">
        <v>36</v>
      </c>
      <c r="Z385" s="535">
        <v>7.5899999999999995E-2</v>
      </c>
    </row>
    <row r="386" spans="1:26" ht="14.5">
      <c r="A386" s="509">
        <v>382</v>
      </c>
      <c r="B386" s="524" t="s">
        <v>1176</v>
      </c>
      <c r="C386" s="525" t="s">
        <v>1177</v>
      </c>
      <c r="D386" s="526">
        <v>9.09</v>
      </c>
      <c r="E386" s="527">
        <v>0.48</v>
      </c>
      <c r="F386" s="101">
        <f t="shared" si="105"/>
        <v>5.2805280528052806E-2</v>
      </c>
      <c r="G386" s="102" t="str">
        <f t="shared" si="89"/>
        <v>NMF</v>
      </c>
      <c r="H386" s="102" t="str">
        <f t="shared" si="90"/>
        <v>NMF</v>
      </c>
      <c r="I386" s="102" t="str">
        <f t="shared" si="91"/>
        <v>NMF</v>
      </c>
      <c r="J386" s="528">
        <v>1185.856</v>
      </c>
      <c r="K386" s="529">
        <f t="shared" si="106"/>
        <v>10.779431039999999</v>
      </c>
      <c r="L386" s="530">
        <f t="shared" si="92"/>
        <v>2.6445907527882932E-4</v>
      </c>
      <c r="M386" s="531">
        <f t="shared" si="107"/>
        <v>1.3964835658288018E-5</v>
      </c>
      <c r="N386" s="532" t="str">
        <f t="shared" si="108"/>
        <v>--</v>
      </c>
      <c r="O386" s="533" t="str">
        <f t="shared" si="93"/>
        <v>--</v>
      </c>
      <c r="P386" s="533" t="str">
        <f t="shared" si="109"/>
        <v>--</v>
      </c>
      <c r="Q386" s="532" t="str">
        <f t="shared" si="110"/>
        <v>--</v>
      </c>
      <c r="R386" s="534" t="str">
        <f t="shared" si="94"/>
        <v>--</v>
      </c>
      <c r="S386" s="533" t="str">
        <f t="shared" si="111"/>
        <v>--</v>
      </c>
      <c r="T386" s="532" t="str">
        <f t="shared" si="112"/>
        <v>--</v>
      </c>
      <c r="U386" s="534" t="str">
        <f t="shared" si="95"/>
        <v>--</v>
      </c>
      <c r="V386" s="533" t="str">
        <f t="shared" si="113"/>
        <v>--</v>
      </c>
      <c r="W386" s="533"/>
      <c r="X386" s="535">
        <v>-3.7000000000000005E-2</v>
      </c>
      <c r="Y386" s="535">
        <v>-0.02</v>
      </c>
      <c r="Z386" s="535" t="s">
        <v>36</v>
      </c>
    </row>
    <row r="387" spans="1:26" ht="14.5">
      <c r="A387" s="509">
        <v>383</v>
      </c>
      <c r="B387" s="524" t="s">
        <v>1178</v>
      </c>
      <c r="C387" s="525" t="s">
        <v>1179</v>
      </c>
      <c r="D387" s="526">
        <v>43.61</v>
      </c>
      <c r="E387" s="527">
        <v>2.72</v>
      </c>
      <c r="F387" s="101">
        <f t="shared" si="105"/>
        <v>6.2371015822059166E-2</v>
      </c>
      <c r="G387" s="102">
        <f t="shared" si="89"/>
        <v>2.6000000000000002E-2</v>
      </c>
      <c r="H387" s="102">
        <f t="shared" si="90"/>
        <v>5.0000000000000001E-3</v>
      </c>
      <c r="I387" s="102">
        <f t="shared" si="91"/>
        <v>2.87E-2</v>
      </c>
      <c r="J387" s="528">
        <v>4216</v>
      </c>
      <c r="K387" s="529">
        <f t="shared" si="106"/>
        <v>183.85976000000002</v>
      </c>
      <c r="L387" s="530">
        <f t="shared" si="92"/>
        <v>4.5107558952005231E-3</v>
      </c>
      <c r="M387" s="531">
        <f t="shared" si="107"/>
        <v>2.813404273089985E-4</v>
      </c>
      <c r="N387" s="532">
        <f t="shared" si="108"/>
        <v>183.85976000000002</v>
      </c>
      <c r="O387" s="533">
        <f t="shared" si="93"/>
        <v>5.4919507933150905E-3</v>
      </c>
      <c r="P387" s="533">
        <f t="shared" si="109"/>
        <v>1.4279072062619235E-4</v>
      </c>
      <c r="Q387" s="532">
        <f t="shared" si="110"/>
        <v>183.85976000000002</v>
      </c>
      <c r="R387" s="534">
        <f t="shared" si="94"/>
        <v>5.5365539588135325E-3</v>
      </c>
      <c r="S387" s="533">
        <f t="shared" si="111"/>
        <v>2.7682769794067662E-5</v>
      </c>
      <c r="T387" s="532">
        <f t="shared" si="112"/>
        <v>183.85976000000002</v>
      </c>
      <c r="U387" s="534">
        <f t="shared" si="95"/>
        <v>5.1281625535197477E-3</v>
      </c>
      <c r="V387" s="533">
        <f t="shared" si="113"/>
        <v>1.4717826528601677E-4</v>
      </c>
      <c r="W387" s="533"/>
      <c r="X387" s="535">
        <v>2.6000000000000002E-2</v>
      </c>
      <c r="Y387" s="535">
        <v>5.0000000000000001E-3</v>
      </c>
      <c r="Z387" s="535">
        <v>2.87E-2</v>
      </c>
    </row>
    <row r="388" spans="1:26" ht="14.5">
      <c r="A388" s="509">
        <v>384</v>
      </c>
      <c r="B388" s="524" t="s">
        <v>1180</v>
      </c>
      <c r="C388" s="525" t="s">
        <v>1181</v>
      </c>
      <c r="D388" s="526">
        <v>191.75</v>
      </c>
      <c r="E388" s="527">
        <v>1</v>
      </c>
      <c r="F388" s="101">
        <f t="shared" si="105"/>
        <v>5.2151238591916557E-3</v>
      </c>
      <c r="G388" s="102">
        <f t="shared" si="89"/>
        <v>0.155</v>
      </c>
      <c r="H388" s="102">
        <f t="shared" si="90"/>
        <v>0.16</v>
      </c>
      <c r="I388" s="102">
        <f t="shared" si="91"/>
        <v>0.15509999999999999</v>
      </c>
      <c r="J388" s="528">
        <v>171.126</v>
      </c>
      <c r="K388" s="529">
        <f t="shared" si="106"/>
        <v>32.813410499999996</v>
      </c>
      <c r="L388" s="530">
        <f t="shared" si="92"/>
        <v>8.0503360199376801E-4</v>
      </c>
      <c r="M388" s="531">
        <f t="shared" si="107"/>
        <v>4.1983499452086991E-6</v>
      </c>
      <c r="N388" s="532">
        <f t="shared" si="108"/>
        <v>32.813410499999996</v>
      </c>
      <c r="O388" s="533">
        <f t="shared" si="93"/>
        <v>9.8014723736639651E-4</v>
      </c>
      <c r="P388" s="533">
        <f t="shared" si="109"/>
        <v>1.5192282179179146E-4</v>
      </c>
      <c r="Q388" s="532">
        <f t="shared" si="110"/>
        <v>32.813410499999996</v>
      </c>
      <c r="R388" s="534">
        <f t="shared" si="94"/>
        <v>9.8810755439879012E-4</v>
      </c>
      <c r="S388" s="533">
        <f t="shared" si="111"/>
        <v>1.5809720870380644E-4</v>
      </c>
      <c r="T388" s="532">
        <f t="shared" si="112"/>
        <v>32.813410499999996</v>
      </c>
      <c r="U388" s="534">
        <f t="shared" si="95"/>
        <v>9.1522203107070107E-4</v>
      </c>
      <c r="V388" s="533">
        <f t="shared" si="113"/>
        <v>1.4195093701906573E-4</v>
      </c>
      <c r="W388" s="533"/>
      <c r="X388" s="535">
        <v>0.155</v>
      </c>
      <c r="Y388" s="535">
        <v>0.16</v>
      </c>
      <c r="Z388" s="535">
        <v>0.15509999999999999</v>
      </c>
    </row>
    <row r="389" spans="1:26" ht="14.5">
      <c r="A389" s="509">
        <v>385</v>
      </c>
      <c r="B389" s="524" t="s">
        <v>1182</v>
      </c>
      <c r="C389" s="525" t="s">
        <v>1183</v>
      </c>
      <c r="D389" s="526">
        <v>107.96</v>
      </c>
      <c r="E389" s="527">
        <v>3.57</v>
      </c>
      <c r="F389" s="101">
        <f t="shared" ref="F389:F394" si="114">E389/D389</f>
        <v>3.3067802889959245E-2</v>
      </c>
      <c r="G389" s="102">
        <f t="shared" ref="G389:G394" si="115">IF(AND(X389&gt;=$F$423,X389&lt;=$F$424),X389,"NMF")</f>
        <v>7.5999999999999998E-2</v>
      </c>
      <c r="H389" s="102">
        <f t="shared" ref="H389:H394" si="116">IF(AND(Y389&gt;=$F$423,Y389&lt;=$F$424),Y389,"NMF")</f>
        <v>7.0000000000000007E-2</v>
      </c>
      <c r="I389" s="102">
        <f t="shared" ref="I389:I394" si="117">IF(AND(Z389&gt;=$F$423,Z389&lt;=$F$424),Z389,"NMF")</f>
        <v>6.9500000000000006E-2</v>
      </c>
      <c r="J389" s="528">
        <v>319.13400000000001</v>
      </c>
      <c r="K389" s="529">
        <f t="shared" ref="K389:K394" si="118">J389*D389/1000</f>
        <v>34.45370664</v>
      </c>
      <c r="L389" s="530">
        <f t="shared" ref="L389:L394" si="119">K389/K$408</f>
        <v>8.452760970529353E-4</v>
      </c>
      <c r="M389" s="531">
        <f t="shared" ref="M389:M394" si="120">F389*L389</f>
        <v>2.7951423364940524E-5</v>
      </c>
      <c r="N389" s="532">
        <f t="shared" ref="N389:N394" si="121">IF(G389="n/a","--",IF(G389="NMF","--",$K389))</f>
        <v>34.45370664</v>
      </c>
      <c r="O389" s="533">
        <f t="shared" ref="O389:O394" si="122">IF(N389="--","--",N389/N$408)</f>
        <v>1.0291434162330755E-3</v>
      </c>
      <c r="P389" s="533">
        <f t="shared" ref="P389:P394" si="123">IF(O389="--","--",G389*O389)</f>
        <v>7.8214899633713737E-5</v>
      </c>
      <c r="Q389" s="532">
        <f t="shared" ref="Q389:Q394" si="124">IF(H389="n/a","--",IF(H389="NMF","--",$K389))</f>
        <v>34.45370664</v>
      </c>
      <c r="R389" s="534">
        <f t="shared" ref="R389:R394" si="125">IF(Q389="--","--",Q389/Q$408)</f>
        <v>1.0375016582937564E-3</v>
      </c>
      <c r="S389" s="533">
        <f t="shared" ref="S389:S394" si="126">IF(R389="--","--",H389*R389)</f>
        <v>7.2625116080562958E-5</v>
      </c>
      <c r="T389" s="532">
        <f t="shared" ref="T389:T394" si="127">IF(I389="n/a","--",IF(I389="NMF","--",$K389))</f>
        <v>34.45370664</v>
      </c>
      <c r="U389" s="534">
        <f t="shared" ref="U389:U394" si="128">IF(T389="--","--",T389/T$408)</f>
        <v>9.6097269038751413E-4</v>
      </c>
      <c r="V389" s="533">
        <f t="shared" ref="V389:V394" si="129">IF(U389="--","--",I389*U389)</f>
        <v>6.6787601981932234E-5</v>
      </c>
      <c r="W389" s="533"/>
      <c r="X389" s="535">
        <v>7.5999999999999998E-2</v>
      </c>
      <c r="Y389" s="535">
        <v>7.0000000000000007E-2</v>
      </c>
      <c r="Z389" s="535">
        <v>6.9500000000000006E-2</v>
      </c>
    </row>
    <row r="390" spans="1:26" ht="14.5">
      <c r="A390" s="509">
        <v>386</v>
      </c>
      <c r="B390" s="524" t="s">
        <v>1184</v>
      </c>
      <c r="C390" s="525" t="s">
        <v>1185</v>
      </c>
      <c r="D390" s="526">
        <v>148.25</v>
      </c>
      <c r="E390" s="527">
        <v>2.98</v>
      </c>
      <c r="F390" s="101">
        <f t="shared" si="114"/>
        <v>2.0101180438448565E-2</v>
      </c>
      <c r="G390" s="102" t="str">
        <f t="shared" si="115"/>
        <v>NMF</v>
      </c>
      <c r="H390" s="102" t="str">
        <f t="shared" si="116"/>
        <v>NMF</v>
      </c>
      <c r="I390" s="102">
        <f t="shared" si="117"/>
        <v>0.18590000000000001</v>
      </c>
      <c r="J390" s="528">
        <v>653.952</v>
      </c>
      <c r="K390" s="529">
        <f t="shared" si="118"/>
        <v>96.948384000000004</v>
      </c>
      <c r="L390" s="530">
        <f t="shared" si="119"/>
        <v>2.3785003018505194E-3</v>
      </c>
      <c r="M390" s="531">
        <f t="shared" si="120"/>
        <v>4.7810663740401669E-5</v>
      </c>
      <c r="N390" s="532" t="str">
        <f t="shared" si="121"/>
        <v>--</v>
      </c>
      <c r="O390" s="533" t="str">
        <f t="shared" si="122"/>
        <v>--</v>
      </c>
      <c r="P390" s="533" t="str">
        <f t="shared" si="123"/>
        <v>--</v>
      </c>
      <c r="Q390" s="532" t="str">
        <f t="shared" si="124"/>
        <v>--</v>
      </c>
      <c r="R390" s="534" t="str">
        <f t="shared" si="125"/>
        <v>--</v>
      </c>
      <c r="S390" s="533" t="str">
        <f t="shared" si="126"/>
        <v>--</v>
      </c>
      <c r="T390" s="532">
        <f t="shared" si="127"/>
        <v>96.948384000000004</v>
      </c>
      <c r="U390" s="534">
        <f t="shared" si="128"/>
        <v>2.7040559198655157E-3</v>
      </c>
      <c r="V390" s="533">
        <f t="shared" si="129"/>
        <v>5.0268399550299934E-4</v>
      </c>
      <c r="W390" s="533"/>
      <c r="X390" s="535">
        <v>0.32280000000000003</v>
      </c>
      <c r="Y390" s="535">
        <v>0.22</v>
      </c>
      <c r="Z390" s="535">
        <v>0.18590000000000001</v>
      </c>
    </row>
    <row r="391" spans="1:26" ht="14.5">
      <c r="A391" s="509">
        <v>387</v>
      </c>
      <c r="B391" s="524" t="s">
        <v>1186</v>
      </c>
      <c r="C391" s="525" t="s">
        <v>1187</v>
      </c>
      <c r="D391" s="526">
        <v>73.31</v>
      </c>
      <c r="E391" s="527">
        <v>1.7</v>
      </c>
      <c r="F391" s="101">
        <f t="shared" si="114"/>
        <v>2.3189196562542626E-2</v>
      </c>
      <c r="G391" s="102">
        <f t="shared" si="115"/>
        <v>0.11685000000000001</v>
      </c>
      <c r="H391" s="102">
        <f t="shared" si="116"/>
        <v>9.5000000000000001E-2</v>
      </c>
      <c r="I391" s="102">
        <f t="shared" si="117"/>
        <v>0.1045</v>
      </c>
      <c r="J391" s="528">
        <v>3254.1819999999998</v>
      </c>
      <c r="K391" s="529">
        <f t="shared" si="118"/>
        <v>238.56408242000001</v>
      </c>
      <c r="L391" s="530">
        <f t="shared" si="119"/>
        <v>5.8528540511481051E-3</v>
      </c>
      <c r="M391" s="531">
        <f t="shared" si="120"/>
        <v>1.3572298304394731E-4</v>
      </c>
      <c r="N391" s="532">
        <f t="shared" si="121"/>
        <v>238.56408242000001</v>
      </c>
      <c r="O391" s="533">
        <f t="shared" si="122"/>
        <v>7.1259866851942234E-3</v>
      </c>
      <c r="P391" s="533">
        <f t="shared" si="123"/>
        <v>8.3267154416494509E-4</v>
      </c>
      <c r="Q391" s="532">
        <f t="shared" si="124"/>
        <v>238.56408242000001</v>
      </c>
      <c r="R391" s="534">
        <f t="shared" si="125"/>
        <v>7.1838607586193334E-3</v>
      </c>
      <c r="S391" s="533">
        <f t="shared" si="126"/>
        <v>6.8246677206883666E-4</v>
      </c>
      <c r="T391" s="532">
        <f t="shared" si="127"/>
        <v>238.56408242000001</v>
      </c>
      <c r="U391" s="534">
        <f t="shared" si="128"/>
        <v>6.6539594856484235E-3</v>
      </c>
      <c r="V391" s="533">
        <f t="shared" si="129"/>
        <v>6.9533876625026017E-4</v>
      </c>
      <c r="W391" s="533"/>
      <c r="X391" s="535">
        <v>0.11685000000000001</v>
      </c>
      <c r="Y391" s="535">
        <v>9.5000000000000001E-2</v>
      </c>
      <c r="Z391" s="535">
        <v>0.1045</v>
      </c>
    </row>
    <row r="392" spans="1:26" ht="14.5">
      <c r="A392" s="509">
        <v>388</v>
      </c>
      <c r="B392" s="524" t="s">
        <v>1188</v>
      </c>
      <c r="C392" s="525" t="s">
        <v>448</v>
      </c>
      <c r="D392" s="526">
        <v>233.13</v>
      </c>
      <c r="E392" s="527">
        <v>3.3</v>
      </c>
      <c r="F392" s="101">
        <f t="shared" si="114"/>
        <v>1.4155192381932826E-2</v>
      </c>
      <c r="G392" s="102">
        <f t="shared" si="115"/>
        <v>0.10539999999999999</v>
      </c>
      <c r="H392" s="102">
        <f t="shared" si="116"/>
        <v>8.5000000000000006E-2</v>
      </c>
      <c r="I392" s="102">
        <f t="shared" si="117"/>
        <v>9.98E-2</v>
      </c>
      <c r="J392" s="528">
        <v>402.40800000000002</v>
      </c>
      <c r="K392" s="529">
        <f t="shared" si="118"/>
        <v>93.813377040000006</v>
      </c>
      <c r="L392" s="530">
        <f t="shared" si="119"/>
        <v>2.3015870548936286E-3</v>
      </c>
      <c r="M392" s="531">
        <f t="shared" si="120"/>
        <v>3.2579407545785498E-5</v>
      </c>
      <c r="N392" s="532">
        <f t="shared" si="121"/>
        <v>93.813377040000006</v>
      </c>
      <c r="O392" s="533">
        <f t="shared" si="122"/>
        <v>2.8022360654576927E-3</v>
      </c>
      <c r="P392" s="533">
        <f t="shared" si="123"/>
        <v>2.9535568129924079E-4</v>
      </c>
      <c r="Q392" s="532">
        <f t="shared" si="124"/>
        <v>93.813377040000006</v>
      </c>
      <c r="R392" s="534">
        <f t="shared" si="125"/>
        <v>2.824994572169998E-3</v>
      </c>
      <c r="S392" s="533">
        <f t="shared" si="126"/>
        <v>2.4012453863444985E-4</v>
      </c>
      <c r="T392" s="532">
        <f t="shared" si="127"/>
        <v>93.813377040000006</v>
      </c>
      <c r="U392" s="534">
        <f t="shared" si="128"/>
        <v>2.616615224319651E-3</v>
      </c>
      <c r="V392" s="533">
        <f t="shared" si="129"/>
        <v>2.6113819938710118E-4</v>
      </c>
      <c r="W392" s="533"/>
      <c r="X392" s="535">
        <v>0.10539999999999999</v>
      </c>
      <c r="Y392" s="535">
        <v>8.5000000000000006E-2</v>
      </c>
      <c r="Z392" s="535">
        <v>9.98E-2</v>
      </c>
    </row>
    <row r="393" spans="1:26" ht="14.5">
      <c r="A393" s="509">
        <v>389</v>
      </c>
      <c r="B393" s="524" t="s">
        <v>1189</v>
      </c>
      <c r="C393" s="525" t="s">
        <v>1190</v>
      </c>
      <c r="D393" s="526">
        <v>57.06</v>
      </c>
      <c r="E393" s="527">
        <v>2</v>
      </c>
      <c r="F393" s="101">
        <f t="shared" si="114"/>
        <v>3.5050823694356817E-2</v>
      </c>
      <c r="G393" s="102">
        <f t="shared" si="115"/>
        <v>5.7500000000000002E-2</v>
      </c>
      <c r="H393" s="102">
        <f t="shared" si="116"/>
        <v>9.5000000000000001E-2</v>
      </c>
      <c r="I393" s="102">
        <f t="shared" si="117"/>
        <v>5.6100000000000004E-2</v>
      </c>
      <c r="J393" s="528">
        <v>1221.0060000000001</v>
      </c>
      <c r="K393" s="529">
        <f t="shared" si="118"/>
        <v>69.670602360000004</v>
      </c>
      <c r="L393" s="530">
        <f t="shared" si="119"/>
        <v>1.7092760281942141E-3</v>
      </c>
      <c r="M393" s="531">
        <f t="shared" si="120"/>
        <v>5.9911532709225869E-5</v>
      </c>
      <c r="N393" s="532">
        <f t="shared" si="121"/>
        <v>69.670602360000004</v>
      </c>
      <c r="O393" s="533">
        <f t="shared" si="122"/>
        <v>2.0810835383541356E-3</v>
      </c>
      <c r="P393" s="533">
        <f t="shared" si="123"/>
        <v>1.196623034553628E-4</v>
      </c>
      <c r="Q393" s="532">
        <f t="shared" si="124"/>
        <v>69.670602360000004</v>
      </c>
      <c r="R393" s="534">
        <f t="shared" si="125"/>
        <v>2.0979851671142254E-3</v>
      </c>
      <c r="S393" s="533">
        <f t="shared" si="126"/>
        <v>1.993085908758514E-4</v>
      </c>
      <c r="T393" s="532">
        <f t="shared" si="127"/>
        <v>69.670602360000004</v>
      </c>
      <c r="U393" s="534">
        <f t="shared" si="128"/>
        <v>1.9432320269738006E-3</v>
      </c>
      <c r="V393" s="533">
        <f t="shared" si="129"/>
        <v>1.0901531671323023E-4</v>
      </c>
      <c r="W393" s="533"/>
      <c r="X393" s="535">
        <v>5.7500000000000002E-2</v>
      </c>
      <c r="Y393" s="535">
        <v>9.5000000000000001E-2</v>
      </c>
      <c r="Z393" s="535">
        <v>5.6100000000000004E-2</v>
      </c>
    </row>
    <row r="394" spans="1:26" ht="14.5">
      <c r="A394" s="509">
        <v>390</v>
      </c>
      <c r="B394" s="524" t="s">
        <v>1191</v>
      </c>
      <c r="C394" s="525" t="s">
        <v>446</v>
      </c>
      <c r="D394" s="526">
        <v>97.43</v>
      </c>
      <c r="E394" s="527">
        <v>0.94</v>
      </c>
      <c r="F394" s="101">
        <f t="shared" si="114"/>
        <v>9.6479523760648663E-3</v>
      </c>
      <c r="G394" s="102">
        <f t="shared" si="115"/>
        <v>9.3000000000000013E-2</v>
      </c>
      <c r="H394" s="102">
        <f t="shared" si="116"/>
        <v>0.1</v>
      </c>
      <c r="I394" s="102">
        <f t="shared" si="117"/>
        <v>7.8799999999999995E-2</v>
      </c>
      <c r="J394" s="528">
        <v>8000.8869999999997</v>
      </c>
      <c r="K394" s="529">
        <f t="shared" si="118"/>
        <v>779.52642041000001</v>
      </c>
      <c r="L394" s="530">
        <f t="shared" si="119"/>
        <v>1.9124649114787097E-2</v>
      </c>
      <c r="M394" s="531">
        <f t="shared" si="120"/>
        <v>1.84513703868417E-4</v>
      </c>
      <c r="N394" s="532">
        <f t="shared" si="121"/>
        <v>779.52642041000001</v>
      </c>
      <c r="O394" s="533">
        <f t="shared" si="122"/>
        <v>2.3284707556350405E-2</v>
      </c>
      <c r="P394" s="533">
        <f t="shared" si="123"/>
        <v>2.1654778027405878E-3</v>
      </c>
      <c r="Q394" s="532">
        <f t="shared" si="124"/>
        <v>779.52642041000001</v>
      </c>
      <c r="R394" s="534">
        <f t="shared" si="125"/>
        <v>2.3473815526141917E-2</v>
      </c>
      <c r="S394" s="533">
        <f t="shared" si="126"/>
        <v>2.3473815526141918E-3</v>
      </c>
      <c r="T394" s="532">
        <f t="shared" si="127"/>
        <v>779.52642041000001</v>
      </c>
      <c r="U394" s="534">
        <f t="shared" si="128"/>
        <v>2.1742322510514826E-2</v>
      </c>
      <c r="V394" s="533">
        <f t="shared" si="129"/>
        <v>1.7132950138285682E-3</v>
      </c>
      <c r="W394" s="533"/>
      <c r="X394" s="535">
        <v>9.3000000000000013E-2</v>
      </c>
      <c r="Y394" s="535">
        <v>0.1</v>
      </c>
      <c r="Z394" s="535">
        <v>7.8799999999999995E-2</v>
      </c>
    </row>
    <row r="395" spans="1:26" ht="14.5">
      <c r="A395" s="509">
        <v>391</v>
      </c>
      <c r="B395" s="524" t="s">
        <v>1192</v>
      </c>
      <c r="C395" s="525" t="s">
        <v>1193</v>
      </c>
      <c r="D395" s="526">
        <v>72.72</v>
      </c>
      <c r="E395" s="527">
        <v>0.32</v>
      </c>
      <c r="F395" s="101">
        <f t="shared" si="105"/>
        <v>4.4004400440044002E-3</v>
      </c>
      <c r="G395" s="102">
        <f t="shared" ref="G395:I400" si="130">IF(AND(X395&gt;=$F$423,X395&lt;=$F$424),X395,"NMF")</f>
        <v>6.3500000000000001E-2</v>
      </c>
      <c r="H395" s="102">
        <f t="shared" si="130"/>
        <v>0.14499999999999999</v>
      </c>
      <c r="I395" s="102">
        <f t="shared" si="130"/>
        <v>6.8499999999999991E-2</v>
      </c>
      <c r="J395" s="528">
        <v>379.35599999999999</v>
      </c>
      <c r="K395" s="529">
        <f t="shared" si="106"/>
        <v>27.586768320000001</v>
      </c>
      <c r="L395" s="530">
        <f t="shared" ref="L395:L406" si="131">K395/K$408</f>
        <v>6.7680485294319441E-4</v>
      </c>
      <c r="M395" s="531">
        <f t="shared" si="107"/>
        <v>2.978239176867742E-6</v>
      </c>
      <c r="N395" s="532">
        <f t="shared" si="108"/>
        <v>27.586768320000001</v>
      </c>
      <c r="O395" s="533">
        <f t="shared" ref="O395:O406" si="132">IF(N395="--","--",N395/N$408)</f>
        <v>8.2402573657239405E-4</v>
      </c>
      <c r="P395" s="533">
        <f t="shared" si="109"/>
        <v>5.2325634272347024E-5</v>
      </c>
      <c r="Q395" s="532">
        <f t="shared" si="110"/>
        <v>27.586768320000001</v>
      </c>
      <c r="R395" s="534">
        <f t="shared" ref="R395:R406" si="133">IF(Q395="--","--",Q395/Q$408)</f>
        <v>8.3071810467373456E-4</v>
      </c>
      <c r="S395" s="533">
        <f t="shared" si="111"/>
        <v>1.204541251776915E-4</v>
      </c>
      <c r="T395" s="532">
        <f t="shared" si="112"/>
        <v>27.586768320000001</v>
      </c>
      <c r="U395" s="534">
        <f t="shared" ref="U395:U406" si="134">IF(T395="--","--",T395/T$408)</f>
        <v>7.6944205883467298E-4</v>
      </c>
      <c r="V395" s="533">
        <f t="shared" si="113"/>
        <v>5.2706781030175091E-5</v>
      </c>
      <c r="W395" s="533"/>
      <c r="X395" s="535">
        <v>6.3500000000000001E-2</v>
      </c>
      <c r="Y395" s="535">
        <v>0.14499999999999999</v>
      </c>
      <c r="Z395" s="535">
        <v>6.8499999999999991E-2</v>
      </c>
    </row>
    <row r="396" spans="1:26" ht="14.5">
      <c r="A396" s="509">
        <v>392</v>
      </c>
      <c r="B396" s="524" t="s">
        <v>1360</v>
      </c>
      <c r="C396" s="525" t="s">
        <v>1361</v>
      </c>
      <c r="D396" s="526">
        <v>160.88999999999999</v>
      </c>
      <c r="E396" s="527">
        <v>2.64</v>
      </c>
      <c r="F396" s="101">
        <f t="shared" si="105"/>
        <v>1.6408726459071418E-2</v>
      </c>
      <c r="G396" s="102" t="str">
        <f t="shared" si="130"/>
        <v>NMF</v>
      </c>
      <c r="H396" s="102">
        <f t="shared" si="130"/>
        <v>0.05</v>
      </c>
      <c r="I396" s="102">
        <f t="shared" si="130"/>
        <v>7.2499999999999995E-2</v>
      </c>
      <c r="J396" s="528">
        <v>122.94</v>
      </c>
      <c r="K396" s="529">
        <f t="shared" si="106"/>
        <v>19.779816599999997</v>
      </c>
      <c r="L396" s="530">
        <f t="shared" si="131"/>
        <v>4.8527162405974605E-4</v>
      </c>
      <c r="M396" s="531">
        <f t="shared" si="107"/>
        <v>7.9626893375457134E-6</v>
      </c>
      <c r="N396" s="532" t="str">
        <f t="shared" si="108"/>
        <v>--</v>
      </c>
      <c r="O396" s="533" t="str">
        <f t="shared" si="132"/>
        <v>--</v>
      </c>
      <c r="P396" s="533" t="str">
        <f t="shared" si="109"/>
        <v>--</v>
      </c>
      <c r="Q396" s="532">
        <f t="shared" si="110"/>
        <v>19.779816599999997</v>
      </c>
      <c r="R396" s="534">
        <f t="shared" si="133"/>
        <v>5.9562800419915476E-4</v>
      </c>
      <c r="S396" s="533">
        <f t="shared" si="111"/>
        <v>2.9781400209957739E-5</v>
      </c>
      <c r="T396" s="532">
        <f t="shared" si="112"/>
        <v>19.779816599999997</v>
      </c>
      <c r="U396" s="534">
        <f t="shared" si="134"/>
        <v>5.5169284896057871E-4</v>
      </c>
      <c r="V396" s="533">
        <f t="shared" si="113"/>
        <v>3.9997731549641953E-5</v>
      </c>
      <c r="W396" s="533"/>
      <c r="X396" s="535" t="s">
        <v>36</v>
      </c>
      <c r="Y396" s="535">
        <v>0.05</v>
      </c>
      <c r="Z396" s="535">
        <v>7.2499999999999995E-2</v>
      </c>
    </row>
    <row r="397" spans="1:26" ht="14.5">
      <c r="A397" s="509">
        <v>393</v>
      </c>
      <c r="B397" s="524" t="s">
        <v>1194</v>
      </c>
      <c r="C397" s="525" t="s">
        <v>1195</v>
      </c>
      <c r="D397" s="526">
        <v>214.74</v>
      </c>
      <c r="E397" s="527">
        <v>0.84</v>
      </c>
      <c r="F397" s="101">
        <f t="shared" si="105"/>
        <v>3.9117071807767533E-3</v>
      </c>
      <c r="G397" s="102">
        <f t="shared" si="130"/>
        <v>6.4399999999999999E-2</v>
      </c>
      <c r="H397" s="102">
        <f t="shared" si="130"/>
        <v>3.5000000000000003E-2</v>
      </c>
      <c r="I397" s="102">
        <f t="shared" si="130"/>
        <v>6.4699999999999994E-2</v>
      </c>
      <c r="J397" s="528">
        <v>71.844999999999999</v>
      </c>
      <c r="K397" s="529">
        <f t="shared" si="106"/>
        <v>15.427995300000001</v>
      </c>
      <c r="L397" s="530">
        <f t="shared" si="131"/>
        <v>3.7850544757918184E-4</v>
      </c>
      <c r="M397" s="531">
        <f t="shared" si="107"/>
        <v>1.4806024772586045E-6</v>
      </c>
      <c r="N397" s="532">
        <f t="shared" si="108"/>
        <v>15.427995300000001</v>
      </c>
      <c r="O397" s="533">
        <f t="shared" si="132"/>
        <v>4.608392343550132E-4</v>
      </c>
      <c r="P397" s="533">
        <f t="shared" si="109"/>
        <v>2.967804669246285E-5</v>
      </c>
      <c r="Q397" s="532">
        <f t="shared" si="110"/>
        <v>15.427995300000001</v>
      </c>
      <c r="R397" s="534">
        <f t="shared" si="133"/>
        <v>4.6458196429045466E-4</v>
      </c>
      <c r="S397" s="533">
        <f t="shared" si="111"/>
        <v>1.6260368750165914E-5</v>
      </c>
      <c r="T397" s="532">
        <f t="shared" si="112"/>
        <v>15.427995300000001</v>
      </c>
      <c r="U397" s="534">
        <f t="shared" si="134"/>
        <v>4.3031312437990052E-4</v>
      </c>
      <c r="V397" s="533">
        <f t="shared" si="113"/>
        <v>2.784125914737956E-5</v>
      </c>
      <c r="W397" s="533"/>
      <c r="X397" s="535">
        <v>6.4399999999999999E-2</v>
      </c>
      <c r="Y397" s="535">
        <v>3.5000000000000003E-2</v>
      </c>
      <c r="Z397" s="535">
        <v>6.4699999999999994E-2</v>
      </c>
    </row>
    <row r="398" spans="1:26" ht="14.5">
      <c r="A398" s="509">
        <v>394</v>
      </c>
      <c r="B398" s="524" t="s">
        <v>1196</v>
      </c>
      <c r="C398" s="525" t="s">
        <v>1197</v>
      </c>
      <c r="D398" s="526">
        <v>309.17</v>
      </c>
      <c r="E398" s="527">
        <v>3.78</v>
      </c>
      <c r="F398" s="101">
        <f t="shared" si="105"/>
        <v>1.2226283274573858E-2</v>
      </c>
      <c r="G398" s="102">
        <f t="shared" si="130"/>
        <v>7.0999999999999994E-2</v>
      </c>
      <c r="H398" s="102">
        <f t="shared" si="130"/>
        <v>6.5000000000000002E-2</v>
      </c>
      <c r="I398" s="102">
        <f t="shared" si="130"/>
        <v>7.0800000000000002E-2</v>
      </c>
      <c r="J398" s="528">
        <v>99.15</v>
      </c>
      <c r="K398" s="529">
        <f t="shared" si="106"/>
        <v>30.654205500000003</v>
      </c>
      <c r="L398" s="530">
        <f t="shared" si="131"/>
        <v>7.5206036476830652E-4</v>
      </c>
      <c r="M398" s="531">
        <f t="shared" si="107"/>
        <v>9.1949030592366602E-6</v>
      </c>
      <c r="N398" s="532">
        <f t="shared" si="108"/>
        <v>30.654205500000003</v>
      </c>
      <c r="O398" s="533">
        <f t="shared" si="132"/>
        <v>9.1565108218442579E-4</v>
      </c>
      <c r="P398" s="533">
        <f t="shared" si="109"/>
        <v>6.5011226835094224E-5</v>
      </c>
      <c r="Q398" s="532">
        <f t="shared" si="110"/>
        <v>30.654205500000003</v>
      </c>
      <c r="R398" s="534">
        <f t="shared" si="133"/>
        <v>9.2308759032051681E-4</v>
      </c>
      <c r="S398" s="533">
        <f t="shared" si="111"/>
        <v>6.0000693370833596E-5</v>
      </c>
      <c r="T398" s="532">
        <f t="shared" si="112"/>
        <v>30.654205500000003</v>
      </c>
      <c r="U398" s="534">
        <f t="shared" si="134"/>
        <v>8.5499811787527122E-4</v>
      </c>
      <c r="V398" s="533">
        <f t="shared" si="113"/>
        <v>6.0533866745569202E-5</v>
      </c>
      <c r="W398" s="533"/>
      <c r="X398" s="535">
        <v>7.0999999999999994E-2</v>
      </c>
      <c r="Y398" s="535">
        <v>6.5000000000000002E-2</v>
      </c>
      <c r="Z398" s="535">
        <v>7.0800000000000002E-2</v>
      </c>
    </row>
    <row r="399" spans="1:26" ht="14.5">
      <c r="A399" s="509">
        <v>395</v>
      </c>
      <c r="B399" s="524" t="s">
        <v>1198</v>
      </c>
      <c r="C399" s="525" t="s">
        <v>1199</v>
      </c>
      <c r="D399" s="526">
        <v>25.94</v>
      </c>
      <c r="E399" s="527">
        <v>0.84</v>
      </c>
      <c r="F399" s="101">
        <f t="shared" si="105"/>
        <v>3.2382420971472627E-2</v>
      </c>
      <c r="G399" s="102">
        <f t="shared" si="130"/>
        <v>1.2E-2</v>
      </c>
      <c r="H399" s="102">
        <f t="shared" si="130"/>
        <v>0.08</v>
      </c>
      <c r="I399" s="102">
        <f t="shared" si="130"/>
        <v>1.24E-2</v>
      </c>
      <c r="J399" s="528">
        <v>725.27300000000002</v>
      </c>
      <c r="K399" s="529">
        <f t="shared" si="106"/>
        <v>18.813581620000001</v>
      </c>
      <c r="L399" s="530">
        <f t="shared" si="131"/>
        <v>4.6156632752186337E-4</v>
      </c>
      <c r="M399" s="531">
        <f t="shared" si="107"/>
        <v>1.4946635124069591E-5</v>
      </c>
      <c r="N399" s="532">
        <f t="shared" si="108"/>
        <v>18.813581620000001</v>
      </c>
      <c r="O399" s="533">
        <f t="shared" si="132"/>
        <v>5.6196779819062744E-4</v>
      </c>
      <c r="P399" s="533">
        <f t="shared" si="109"/>
        <v>6.7436135782875296E-6</v>
      </c>
      <c r="Q399" s="532">
        <f t="shared" si="110"/>
        <v>18.813581620000001</v>
      </c>
      <c r="R399" s="534">
        <f t="shared" si="133"/>
        <v>5.6653184904447004E-4</v>
      </c>
      <c r="S399" s="533">
        <f t="shared" si="111"/>
        <v>4.5322547923557604E-5</v>
      </c>
      <c r="T399" s="532">
        <f t="shared" si="112"/>
        <v>18.813581620000001</v>
      </c>
      <c r="U399" s="534">
        <f t="shared" si="134"/>
        <v>5.2474290601310137E-4</v>
      </c>
      <c r="V399" s="533">
        <f t="shared" si="113"/>
        <v>6.5068120345624565E-6</v>
      </c>
      <c r="W399" s="533"/>
      <c r="X399" s="535">
        <v>1.2E-2</v>
      </c>
      <c r="Y399" s="535">
        <v>0.08</v>
      </c>
      <c r="Z399" s="535">
        <v>1.24E-2</v>
      </c>
    </row>
    <row r="400" spans="1:26" ht="14.5">
      <c r="A400" s="509">
        <v>396</v>
      </c>
      <c r="B400" s="524" t="s">
        <v>1200</v>
      </c>
      <c r="C400" s="525" t="s">
        <v>1201</v>
      </c>
      <c r="D400" s="526">
        <v>86.59</v>
      </c>
      <c r="E400" s="527">
        <v>1</v>
      </c>
      <c r="F400" s="101">
        <f t="shared" si="105"/>
        <v>1.1548677676406051E-2</v>
      </c>
      <c r="G400" s="102" t="str">
        <f t="shared" si="130"/>
        <v>NMF</v>
      </c>
      <c r="H400" s="102" t="str">
        <f t="shared" si="130"/>
        <v>NMF</v>
      </c>
      <c r="I400" s="102">
        <f t="shared" si="130"/>
        <v>7.2999999999999995E-2</v>
      </c>
      <c r="J400" s="528">
        <v>104.554</v>
      </c>
      <c r="K400" s="529">
        <f t="shared" si="106"/>
        <v>9.0533308600000009</v>
      </c>
      <c r="L400" s="530">
        <f t="shared" si="131"/>
        <v>2.2211149164964546E-4</v>
      </c>
      <c r="M400" s="531">
        <f t="shared" si="107"/>
        <v>2.5650940252875097E-6</v>
      </c>
      <c r="N400" s="532" t="str">
        <f t="shared" si="108"/>
        <v>--</v>
      </c>
      <c r="O400" s="533" t="str">
        <f t="shared" si="132"/>
        <v>--</v>
      </c>
      <c r="P400" s="533" t="str">
        <f t="shared" si="109"/>
        <v>--</v>
      </c>
      <c r="Q400" s="532" t="str">
        <f t="shared" si="110"/>
        <v>--</v>
      </c>
      <c r="R400" s="534" t="str">
        <f t="shared" si="133"/>
        <v>--</v>
      </c>
      <c r="S400" s="533" t="str">
        <f t="shared" si="111"/>
        <v>--</v>
      </c>
      <c r="T400" s="532">
        <f t="shared" si="112"/>
        <v>9.0533308600000009</v>
      </c>
      <c r="U400" s="534">
        <f t="shared" si="134"/>
        <v>2.5251285164778158E-4</v>
      </c>
      <c r="V400" s="533">
        <f t="shared" si="113"/>
        <v>1.8433438170288055E-5</v>
      </c>
      <c r="W400" s="533"/>
      <c r="X400" s="535">
        <v>-3.7670000000000002E-2</v>
      </c>
      <c r="Y400" s="535" t="s">
        <v>36</v>
      </c>
      <c r="Z400" s="535">
        <v>7.2999999999999995E-2</v>
      </c>
    </row>
    <row r="401" spans="1:27" ht="14.5">
      <c r="A401" s="509">
        <v>397</v>
      </c>
      <c r="B401" s="524" t="s">
        <v>20</v>
      </c>
      <c r="C401" s="525" t="s">
        <v>1202</v>
      </c>
      <c r="D401" s="526">
        <v>70.17</v>
      </c>
      <c r="E401" s="527">
        <v>2.3199999999999998</v>
      </c>
      <c r="F401" s="101">
        <f t="shared" si="96"/>
        <v>3.3062562348582014E-2</v>
      </c>
      <c r="G401" s="102">
        <f t="shared" ref="G401:I403" si="135">IF(AND(X401&gt;=$F$423,X401&lt;=$F$424),X401,"NMF")</f>
        <v>8.4000000000000005E-2</v>
      </c>
      <c r="H401" s="102">
        <f t="shared" si="135"/>
        <v>7.0000000000000007E-2</v>
      </c>
      <c r="I401" s="102">
        <f t="shared" si="135"/>
        <v>7.5199999999999989E-2</v>
      </c>
      <c r="J401" s="528">
        <v>576.76099999999997</v>
      </c>
      <c r="K401" s="529">
        <f t="shared" si="106"/>
        <v>40.471319369999996</v>
      </c>
      <c r="L401" s="530">
        <f t="shared" si="131"/>
        <v>9.9291026179285004E-4</v>
      </c>
      <c r="M401" s="531">
        <f t="shared" si="107"/>
        <v>3.2828157437072993E-5</v>
      </c>
      <c r="N401" s="532">
        <f t="shared" si="108"/>
        <v>40.471319369999996</v>
      </c>
      <c r="O401" s="533">
        <f t="shared" si="132"/>
        <v>1.2088914644541027E-3</v>
      </c>
      <c r="P401" s="533">
        <f t="shared" si="109"/>
        <v>1.0154688301414464E-4</v>
      </c>
      <c r="Q401" s="532">
        <f t="shared" si="110"/>
        <v>40.471319369999996</v>
      </c>
      <c r="R401" s="534">
        <f t="shared" si="133"/>
        <v>1.2187095396860098E-3</v>
      </c>
      <c r="S401" s="533">
        <f t="shared" si="111"/>
        <v>8.5309667778020684E-5</v>
      </c>
      <c r="T401" s="532">
        <f t="shared" si="112"/>
        <v>40.471319369999996</v>
      </c>
      <c r="U401" s="534">
        <f t="shared" si="134"/>
        <v>1.1288141814433585E-3</v>
      </c>
      <c r="V401" s="533">
        <f t="shared" si="113"/>
        <v>8.4886826444540542E-5</v>
      </c>
      <c r="W401" s="533"/>
      <c r="X401" s="535">
        <v>8.4000000000000005E-2</v>
      </c>
      <c r="Y401" s="535">
        <v>7.0000000000000007E-2</v>
      </c>
      <c r="Z401" s="535">
        <v>7.5199999999999989E-2</v>
      </c>
    </row>
    <row r="402" spans="1:27" ht="14.5">
      <c r="A402" s="509">
        <v>398</v>
      </c>
      <c r="B402" s="524" t="s">
        <v>1203</v>
      </c>
      <c r="C402" s="525" t="s">
        <v>1204</v>
      </c>
      <c r="D402" s="526">
        <v>106.07</v>
      </c>
      <c r="E402" s="527">
        <v>3.96</v>
      </c>
      <c r="F402" s="101">
        <f t="shared" si="96"/>
        <v>3.7333836145941358E-2</v>
      </c>
      <c r="G402" s="102">
        <f t="shared" si="135"/>
        <v>0.106</v>
      </c>
      <c r="H402" s="102" t="str">
        <f t="shared" si="135"/>
        <v>NMF</v>
      </c>
      <c r="I402" s="102">
        <f t="shared" si="135"/>
        <v>6.2899999999999998E-2</v>
      </c>
      <c r="J402" s="528">
        <v>4310</v>
      </c>
      <c r="K402" s="529">
        <f t="shared" si="106"/>
        <v>457.16169999999994</v>
      </c>
      <c r="L402" s="530">
        <f t="shared" si="131"/>
        <v>1.1215857310674681E-2</v>
      </c>
      <c r="M402" s="531">
        <f t="shared" si="107"/>
        <v>4.1873097907298704E-4</v>
      </c>
      <c r="N402" s="532">
        <f t="shared" si="108"/>
        <v>457.16169999999994</v>
      </c>
      <c r="O402" s="533">
        <f t="shared" si="132"/>
        <v>1.3655568575681131E-2</v>
      </c>
      <c r="P402" s="533">
        <f t="shared" si="109"/>
        <v>1.4474902690221998E-3</v>
      </c>
      <c r="Q402" s="532" t="str">
        <f t="shared" si="110"/>
        <v>--</v>
      </c>
      <c r="R402" s="534" t="str">
        <f t="shared" si="133"/>
        <v>--</v>
      </c>
      <c r="S402" s="533" t="str">
        <f t="shared" si="111"/>
        <v>--</v>
      </c>
      <c r="T402" s="532">
        <f t="shared" si="112"/>
        <v>457.16169999999994</v>
      </c>
      <c r="U402" s="534">
        <f t="shared" si="134"/>
        <v>1.2751020184315632E-2</v>
      </c>
      <c r="V402" s="533">
        <f t="shared" si="113"/>
        <v>8.0203916959345326E-4</v>
      </c>
      <c r="W402" s="533"/>
      <c r="X402" s="535">
        <v>0.106</v>
      </c>
      <c r="Y402" s="535">
        <v>-1.4999999999999999E-2</v>
      </c>
      <c r="Z402" s="535">
        <v>6.2899999999999998E-2</v>
      </c>
    </row>
    <row r="403" spans="1:27" ht="14.5">
      <c r="A403" s="509">
        <v>399</v>
      </c>
      <c r="B403" s="524" t="s">
        <v>1205</v>
      </c>
      <c r="C403" s="525" t="s">
        <v>1206</v>
      </c>
      <c r="D403" s="526">
        <v>123.31</v>
      </c>
      <c r="E403" s="527">
        <v>1.6</v>
      </c>
      <c r="F403" s="101">
        <f t="shared" si="96"/>
        <v>1.2975427783634742E-2</v>
      </c>
      <c r="G403" s="102">
        <f t="shared" si="135"/>
        <v>0.11650000000000001</v>
      </c>
      <c r="H403" s="102">
        <f t="shared" si="135"/>
        <v>0.1</v>
      </c>
      <c r="I403" s="102">
        <f t="shared" si="135"/>
        <v>0.1182</v>
      </c>
      <c r="J403" s="528">
        <v>243.351</v>
      </c>
      <c r="K403" s="529">
        <f t="shared" si="106"/>
        <v>30.007611810000004</v>
      </c>
      <c r="L403" s="530">
        <f t="shared" si="131"/>
        <v>7.3619704427356123E-4</v>
      </c>
      <c r="M403" s="531">
        <f t="shared" si="107"/>
        <v>9.5524715824969424E-6</v>
      </c>
      <c r="N403" s="532">
        <f t="shared" si="108"/>
        <v>30.007611810000004</v>
      </c>
      <c r="O403" s="533">
        <f t="shared" si="132"/>
        <v>8.9633711849412172E-4</v>
      </c>
      <c r="P403" s="533">
        <f t="shared" si="109"/>
        <v>1.0442327430456519E-4</v>
      </c>
      <c r="Q403" s="532">
        <f t="shared" si="110"/>
        <v>30.007611810000004</v>
      </c>
      <c r="R403" s="534">
        <f t="shared" si="133"/>
        <v>9.0361676726432802E-4</v>
      </c>
      <c r="S403" s="533">
        <f t="shared" si="111"/>
        <v>9.036167672643281E-5</v>
      </c>
      <c r="T403" s="532">
        <f t="shared" si="112"/>
        <v>30.007611810000004</v>
      </c>
      <c r="U403" s="534">
        <f t="shared" si="134"/>
        <v>8.3696351613098444E-4</v>
      </c>
      <c r="V403" s="533">
        <f t="shared" si="113"/>
        <v>9.8929087606682367E-5</v>
      </c>
      <c r="W403" s="533"/>
      <c r="X403" s="535">
        <v>0.11650000000000001</v>
      </c>
      <c r="Y403" s="535">
        <v>0.1</v>
      </c>
      <c r="Z403" s="535">
        <v>0.1182</v>
      </c>
    </row>
    <row r="404" spans="1:27" ht="14.5">
      <c r="A404" s="509">
        <v>400</v>
      </c>
      <c r="B404" s="524" t="s">
        <v>1362</v>
      </c>
      <c r="C404" s="525" t="s">
        <v>1207</v>
      </c>
      <c r="D404" s="526">
        <v>147.97999999999999</v>
      </c>
      <c r="E404" s="527">
        <v>2.9</v>
      </c>
      <c r="F404" s="101">
        <f t="shared" ref="F404:F406" si="136">E404/D404</f>
        <v>1.9597242870658199E-2</v>
      </c>
      <c r="G404" s="102">
        <f t="shared" ref="G404:G406" si="137">IF(AND(X404&gt;=$F$423,X404&lt;=$F$424),X404,"NMF")</f>
        <v>0.1104</v>
      </c>
      <c r="H404" s="102">
        <f t="shared" ref="H404:H406" si="138">IF(AND(Y404&gt;=$F$423,Y404&lt;=$F$424),Y404,"NMF")</f>
        <v>8.5000000000000006E-2</v>
      </c>
      <c r="I404" s="102">
        <f t="shared" ref="I404:I406" si="139">IF(AND(Z404&gt;=$F$423,Z404&lt;=$F$424),Z404,"NMF")</f>
        <v>0.1108</v>
      </c>
      <c r="J404" s="528">
        <v>278</v>
      </c>
      <c r="K404" s="529">
        <f t="shared" si="97"/>
        <v>41.138439999999996</v>
      </c>
      <c r="L404" s="530">
        <f t="shared" si="131"/>
        <v>1.0092771835955457E-3</v>
      </c>
      <c r="M404" s="531">
        <f t="shared" si="98"/>
        <v>1.9779050090735794E-5</v>
      </c>
      <c r="N404" s="532">
        <f t="shared" si="99"/>
        <v>41.138439999999996</v>
      </c>
      <c r="O404" s="533">
        <f t="shared" si="132"/>
        <v>1.2288185745143211E-3</v>
      </c>
      <c r="P404" s="533">
        <f t="shared" si="100"/>
        <v>1.3566157062638105E-4</v>
      </c>
      <c r="Q404" s="532">
        <f t="shared" si="101"/>
        <v>41.138439999999996</v>
      </c>
      <c r="R404" s="534">
        <f t="shared" si="133"/>
        <v>1.2387984888124128E-3</v>
      </c>
      <c r="S404" s="533">
        <f t="shared" si="102"/>
        <v>1.052978715490551E-4</v>
      </c>
      <c r="T404" s="532">
        <f t="shared" si="103"/>
        <v>41.138439999999996</v>
      </c>
      <c r="U404" s="534">
        <f t="shared" si="134"/>
        <v>1.1474213145835656E-3</v>
      </c>
      <c r="V404" s="533">
        <f t="shared" si="104"/>
        <v>1.2713428165585906E-4</v>
      </c>
      <c r="W404" s="533"/>
      <c r="X404" s="535">
        <v>0.1104</v>
      </c>
      <c r="Y404" s="535">
        <v>8.5000000000000006E-2</v>
      </c>
      <c r="Z404" s="535">
        <v>0.1108</v>
      </c>
    </row>
    <row r="405" spans="1:27" ht="14.5">
      <c r="A405" s="509">
        <v>401</v>
      </c>
      <c r="B405" s="524" t="s">
        <v>1208</v>
      </c>
      <c r="C405" s="525" t="s">
        <v>1209</v>
      </c>
      <c r="D405" s="526">
        <v>95.11</v>
      </c>
      <c r="E405" s="527">
        <v>0.96</v>
      </c>
      <c r="F405" s="101">
        <f t="shared" si="136"/>
        <v>1.0093575859531068E-2</v>
      </c>
      <c r="G405" s="102">
        <f t="shared" si="137"/>
        <v>6.3369999999999996E-2</v>
      </c>
      <c r="H405" s="102">
        <f t="shared" si="138"/>
        <v>0.05</v>
      </c>
      <c r="I405" s="102">
        <f t="shared" si="139"/>
        <v>5.4400000000000004E-2</v>
      </c>
      <c r="J405" s="528">
        <v>197.84800000000001</v>
      </c>
      <c r="K405" s="529">
        <f t="shared" si="97"/>
        <v>18.81732328</v>
      </c>
      <c r="L405" s="530">
        <f t="shared" si="131"/>
        <v>4.6165812419832392E-4</v>
      </c>
      <c r="M405" s="531">
        <f t="shared" si="98"/>
        <v>4.6597812977645981E-6</v>
      </c>
      <c r="N405" s="532">
        <f t="shared" si="99"/>
        <v>18.81732328</v>
      </c>
      <c r="O405" s="533">
        <f t="shared" si="132"/>
        <v>5.6207956279102347E-4</v>
      </c>
      <c r="P405" s="533">
        <f t="shared" si="100"/>
        <v>3.5618981894067156E-5</v>
      </c>
      <c r="Q405" s="532">
        <f t="shared" si="101"/>
        <v>18.81732328</v>
      </c>
      <c r="R405" s="534">
        <f t="shared" si="133"/>
        <v>5.6664452134691154E-4</v>
      </c>
      <c r="S405" s="533">
        <f t="shared" si="102"/>
        <v>2.8332226067345578E-5</v>
      </c>
      <c r="T405" s="532">
        <f t="shared" si="103"/>
        <v>18.81732328</v>
      </c>
      <c r="U405" s="534">
        <f t="shared" si="134"/>
        <v>5.2484726729748465E-4</v>
      </c>
      <c r="V405" s="533">
        <f t="shared" si="104"/>
        <v>2.8551691340983167E-5</v>
      </c>
      <c r="W405" s="533"/>
      <c r="X405" s="535">
        <v>6.3369999999999996E-2</v>
      </c>
      <c r="Y405" s="535">
        <v>0.05</v>
      </c>
      <c r="Z405" s="535">
        <v>5.4400000000000004E-2</v>
      </c>
    </row>
    <row r="406" spans="1:27" ht="14.5">
      <c r="A406" s="509">
        <v>402</v>
      </c>
      <c r="B406" s="524" t="s">
        <v>1210</v>
      </c>
      <c r="C406" s="525" t="s">
        <v>1211</v>
      </c>
      <c r="D406" s="526">
        <v>161.69</v>
      </c>
      <c r="E406" s="527">
        <v>2</v>
      </c>
      <c r="F406" s="101">
        <f t="shared" si="136"/>
        <v>1.2369348753788114E-2</v>
      </c>
      <c r="G406" s="102">
        <f t="shared" si="137"/>
        <v>8.632999999999999E-2</v>
      </c>
      <c r="H406" s="102">
        <f t="shared" si="138"/>
        <v>7.4999999999999997E-2</v>
      </c>
      <c r="I406" s="102">
        <f t="shared" si="139"/>
        <v>9.4E-2</v>
      </c>
      <c r="J406" s="528">
        <v>445.20800000000003</v>
      </c>
      <c r="K406" s="529">
        <f t="shared" si="97"/>
        <v>71.98568152</v>
      </c>
      <c r="L406" s="530">
        <f t="shared" si="131"/>
        <v>1.7660734316544701E-3</v>
      </c>
      <c r="M406" s="531">
        <f t="shared" si="98"/>
        <v>2.1845178200933517E-5</v>
      </c>
      <c r="N406" s="532">
        <f t="shared" si="99"/>
        <v>71.98568152</v>
      </c>
      <c r="O406" s="533">
        <f t="shared" si="132"/>
        <v>2.1502357053609306E-3</v>
      </c>
      <c r="P406" s="533">
        <f t="shared" si="100"/>
        <v>1.8562984844380911E-4</v>
      </c>
      <c r="Q406" s="532">
        <f t="shared" si="101"/>
        <v>71.98568152</v>
      </c>
      <c r="R406" s="534">
        <f t="shared" si="133"/>
        <v>2.1676989570607839E-3</v>
      </c>
      <c r="S406" s="533">
        <f t="shared" si="102"/>
        <v>1.625774217795588E-4</v>
      </c>
      <c r="T406" s="532">
        <f t="shared" si="103"/>
        <v>71.98568152</v>
      </c>
      <c r="U406" s="534">
        <f t="shared" si="134"/>
        <v>2.007803536567558E-3</v>
      </c>
      <c r="V406" s="533">
        <f t="shared" si="104"/>
        <v>1.8873353243735046E-4</v>
      </c>
      <c r="W406" s="533"/>
      <c r="X406" s="535">
        <v>8.632999999999999E-2</v>
      </c>
      <c r="Y406" s="535">
        <v>7.4999999999999997E-2</v>
      </c>
      <c r="Z406" s="535">
        <v>9.4E-2</v>
      </c>
    </row>
    <row r="407" spans="1:27" ht="2.15" customHeight="1">
      <c r="B407" s="100"/>
      <c r="C407" s="536"/>
      <c r="D407" s="536"/>
      <c r="E407" s="536"/>
      <c r="F407" s="101"/>
      <c r="G407" s="102"/>
      <c r="H407" s="102"/>
      <c r="I407" s="102"/>
      <c r="J407" s="102"/>
      <c r="K407" s="528"/>
      <c r="L407" s="530"/>
      <c r="M407" s="531"/>
      <c r="N407" s="532"/>
      <c r="O407" s="533"/>
      <c r="P407" s="533"/>
      <c r="Q407" s="532"/>
      <c r="R407" s="534"/>
      <c r="S407" s="533"/>
      <c r="T407" s="532"/>
      <c r="U407" s="534"/>
      <c r="V407" s="533"/>
      <c r="W407" s="533"/>
      <c r="X407" s="537"/>
      <c r="Y407" s="537"/>
      <c r="Z407" s="537"/>
      <c r="AA407" s="537"/>
    </row>
    <row r="408" spans="1:27">
      <c r="B408" s="509"/>
      <c r="F408" s="513"/>
      <c r="G408" s="538"/>
      <c r="H408" s="538"/>
      <c r="I408" s="538"/>
      <c r="J408" s="538"/>
      <c r="K408" s="539">
        <f>SUM(K5:K406)</f>
        <v>40760.29922072</v>
      </c>
      <c r="L408" s="540">
        <f>SUM(L5:L406)</f>
        <v>0.99999999999999956</v>
      </c>
      <c r="M408" s="541"/>
      <c r="N408" s="542">
        <f>SUM(N5:N406)</f>
        <v>33478.042123719992</v>
      </c>
      <c r="O408" s="540">
        <f>SUM(O5:O406)</f>
        <v>1.0000000000000002</v>
      </c>
      <c r="P408" s="543"/>
      <c r="Q408" s="542">
        <f>SUM(Q5:Q406)</f>
        <v>33208.338863440003</v>
      </c>
      <c r="R408" s="540">
        <f>SUM(R5:R406)</f>
        <v>0.99999999999999978</v>
      </c>
      <c r="S408" s="543"/>
      <c r="T408" s="542">
        <f>SUM(T5:T406)</f>
        <v>35852.950853480004</v>
      </c>
      <c r="U408" s="540">
        <f>SUM(U5:U406)</f>
        <v>1</v>
      </c>
      <c r="V408" s="543"/>
      <c r="W408" s="544"/>
      <c r="X408" s="111"/>
      <c r="Y408" s="111"/>
      <c r="Z408" s="111"/>
      <c r="AA408" s="111"/>
    </row>
    <row r="409" spans="1:27">
      <c r="B409" s="545" t="s">
        <v>1212</v>
      </c>
      <c r="F409" s="513"/>
      <c r="G409" s="538"/>
      <c r="H409" s="538"/>
      <c r="I409" s="538"/>
      <c r="J409" s="538"/>
      <c r="K409" s="546"/>
      <c r="L409" s="530"/>
      <c r="M409" s="103">
        <f>ROUND(SUM(M5:M406),4)</f>
        <v>1.6899999999999998E-2</v>
      </c>
      <c r="N409" s="538"/>
      <c r="O409" s="538"/>
      <c r="P409" s="103">
        <f>ROUND(SUM(P5:P406),4)</f>
        <v>0.10630000000000001</v>
      </c>
      <c r="Q409" s="538"/>
      <c r="R409" s="538"/>
      <c r="S409" s="103">
        <f>ROUND(SUM(S5:S406),4)</f>
        <v>9.3600000000000003E-2</v>
      </c>
      <c r="T409" s="538"/>
      <c r="U409" s="538"/>
      <c r="V409" s="103">
        <f>ROUND(SUM(V5:V406),4)</f>
        <v>0.1077</v>
      </c>
      <c r="W409" s="103"/>
      <c r="X409" s="111"/>
      <c r="Y409" s="111"/>
      <c r="Z409" s="111"/>
      <c r="AA409" s="111"/>
    </row>
    <row r="410" spans="1:27">
      <c r="B410" s="545" t="s">
        <v>1213</v>
      </c>
      <c r="F410" s="513"/>
      <c r="G410" s="538"/>
      <c r="H410" s="538"/>
      <c r="I410" s="538"/>
      <c r="J410" s="538"/>
      <c r="K410" s="546"/>
      <c r="L410" s="530"/>
      <c r="M410" s="544"/>
      <c r="N410" s="547"/>
      <c r="O410" s="547"/>
      <c r="P410" s="544"/>
      <c r="Q410" s="1466"/>
      <c r="R410" s="1466"/>
      <c r="S410" s="544"/>
      <c r="T410" s="547"/>
      <c r="U410" s="544"/>
      <c r="V410" s="548">
        <f>ROUND(AVERAGE(P409,S409,V409),4)</f>
        <v>0.10249999999999999</v>
      </c>
      <c r="W410" s="548"/>
      <c r="X410" s="111"/>
      <c r="Y410" s="111"/>
      <c r="Z410" s="111"/>
      <c r="AA410" s="111"/>
    </row>
    <row r="411" spans="1:27">
      <c r="B411" s="545"/>
      <c r="G411" s="538"/>
      <c r="H411" s="538"/>
      <c r="I411" s="538"/>
      <c r="J411" s="538"/>
      <c r="K411" s="546"/>
      <c r="L411" s="530"/>
      <c r="M411" s="549"/>
      <c r="N411" s="550"/>
      <c r="O411" s="550"/>
      <c r="P411" s="549"/>
      <c r="Q411" s="550"/>
      <c r="R411" s="550"/>
      <c r="S411" s="549"/>
      <c r="T411" s="550"/>
      <c r="U411" s="550"/>
      <c r="V411" s="549"/>
      <c r="W411" s="549"/>
      <c r="X411" s="111"/>
      <c r="Y411" s="111"/>
      <c r="Z411" s="111"/>
      <c r="AA411" s="111"/>
    </row>
    <row r="412" spans="1:27">
      <c r="B412" s="545"/>
      <c r="G412" s="538"/>
      <c r="H412" s="538"/>
      <c r="I412" s="538"/>
      <c r="J412" s="538"/>
      <c r="K412" s="546"/>
      <c r="L412" s="530"/>
      <c r="M412" s="549"/>
      <c r="N412" s="550"/>
      <c r="O412" s="550"/>
      <c r="P412" s="549"/>
      <c r="Q412" s="550"/>
      <c r="R412" s="550"/>
      <c r="S412" s="549"/>
      <c r="T412" s="550"/>
      <c r="U412" s="550"/>
      <c r="V412" s="549"/>
      <c r="W412" s="549"/>
      <c r="X412" s="111"/>
      <c r="Y412" s="111"/>
      <c r="Z412" s="111"/>
      <c r="AA412" s="111"/>
    </row>
    <row r="413" spans="1:27">
      <c r="K413" s="552"/>
      <c r="M413" s="549"/>
      <c r="P413" s="553"/>
      <c r="S413" s="553"/>
      <c r="V413" s="553"/>
      <c r="W413" s="553"/>
      <c r="X413" s="111"/>
      <c r="Y413" s="111"/>
      <c r="Z413" s="111"/>
      <c r="AA413" s="111"/>
    </row>
    <row r="414" spans="1:27">
      <c r="A414" s="554" t="s">
        <v>36</v>
      </c>
      <c r="B414" s="554" t="s">
        <v>1214</v>
      </c>
      <c r="K414" s="555"/>
      <c r="M414" s="549"/>
      <c r="X414" s="111"/>
      <c r="Y414" s="111"/>
      <c r="Z414" s="111"/>
      <c r="AA414" s="111"/>
    </row>
    <row r="415" spans="1:27">
      <c r="A415" s="554" t="s">
        <v>1215</v>
      </c>
      <c r="B415" s="554" t="s">
        <v>1216</v>
      </c>
      <c r="K415" s="555"/>
      <c r="M415" s="549"/>
      <c r="X415" s="111"/>
      <c r="Y415" s="111"/>
      <c r="Z415" s="111"/>
      <c r="AA415" s="111"/>
    </row>
    <row r="416" spans="1:27">
      <c r="A416" s="554"/>
      <c r="B416" s="111"/>
      <c r="K416" s="552"/>
      <c r="L416" s="530"/>
      <c r="X416" s="111"/>
      <c r="Y416" s="111"/>
      <c r="Z416" s="111"/>
      <c r="AA416" s="111"/>
    </row>
    <row r="417" spans="1:27">
      <c r="A417" s="556" t="s">
        <v>21</v>
      </c>
      <c r="B417" s="557" t="s">
        <v>1531</v>
      </c>
      <c r="K417" s="552"/>
      <c r="L417" s="530"/>
      <c r="M417" s="547"/>
      <c r="X417" s="111"/>
      <c r="Y417" s="111"/>
      <c r="Z417" s="111"/>
      <c r="AA417" s="111"/>
    </row>
    <row r="418" spans="1:27">
      <c r="A418" s="556" t="s">
        <v>22</v>
      </c>
      <c r="B418" s="557" t="s">
        <v>1532</v>
      </c>
      <c r="K418" s="552"/>
      <c r="L418" s="530"/>
      <c r="X418" s="111"/>
      <c r="Y418" s="111"/>
      <c r="Z418" s="111"/>
      <c r="AA418" s="111"/>
    </row>
    <row r="419" spans="1:27">
      <c r="A419" s="556" t="s">
        <v>23</v>
      </c>
      <c r="B419" s="509" t="s">
        <v>1533</v>
      </c>
      <c r="K419" s="552"/>
      <c r="L419" s="530"/>
      <c r="X419" s="111"/>
      <c r="Y419" s="111"/>
      <c r="Z419" s="111"/>
      <c r="AA419" s="111"/>
    </row>
    <row r="420" spans="1:27">
      <c r="A420" s="556" t="s">
        <v>24</v>
      </c>
      <c r="B420" s="557" t="s">
        <v>1534</v>
      </c>
      <c r="K420" s="552"/>
      <c r="L420" s="530"/>
      <c r="X420" s="111"/>
      <c r="Y420" s="111"/>
      <c r="Z420" s="111"/>
      <c r="AA420" s="111"/>
    </row>
    <row r="423" spans="1:27">
      <c r="B423" s="111" t="s">
        <v>1217</v>
      </c>
      <c r="C423" s="111"/>
      <c r="D423" s="111"/>
      <c r="E423" s="111"/>
      <c r="F423" s="104">
        <v>0</v>
      </c>
    </row>
    <row r="424" spans="1:27">
      <c r="B424" s="111" t="s">
        <v>1218</v>
      </c>
      <c r="C424" s="111"/>
      <c r="D424" s="111"/>
      <c r="E424" s="111"/>
      <c r="F424" s="89">
        <v>0.2</v>
      </c>
    </row>
    <row r="432" spans="1:27">
      <c r="F432" s="511" t="s">
        <v>1219</v>
      </c>
    </row>
  </sheetData>
  <mergeCells count="11">
    <mergeCell ref="G1:I1"/>
    <mergeCell ref="L1:M1"/>
    <mergeCell ref="N1:P1"/>
    <mergeCell ref="T1:V1"/>
    <mergeCell ref="Q1:S1"/>
    <mergeCell ref="Q410:R410"/>
    <mergeCell ref="X1:Z1"/>
    <mergeCell ref="L2:M2"/>
    <mergeCell ref="N2:P2"/>
    <mergeCell ref="T2:V2"/>
    <mergeCell ref="Q2:S2"/>
  </mergeCells>
  <conditionalFormatting sqref="J5:J406">
    <cfRule type="cellIs" dxfId="2" priority="6" operator="equal">
      <formula>"NMF"</formula>
    </cfRule>
  </conditionalFormatting>
  <conditionalFormatting sqref="E5:E406">
    <cfRule type="cellIs" dxfId="1" priority="1" operator="lessThanOrEqual">
      <formula>0</formula>
    </cfRule>
    <cfRule type="cellIs" dxfId="0" priority="2" operator="equal">
      <formula>"n/a"</formula>
    </cfRule>
  </conditionalFormatting>
  <printOptions horizontalCentered="1"/>
  <pageMargins left="0.5" right="0.5" top="0.75" bottom="0.25" header="0.5" footer="0.5"/>
  <pageSetup scale="47" fitToHeight="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AA259-27A3-4317-B8B2-78BCAC5B28F0}">
  <sheetPr codeName="Sheet45">
    <pageSetUpPr fitToPage="1"/>
  </sheetPr>
  <dimension ref="A1:V93"/>
  <sheetViews>
    <sheetView showGridLines="0" zoomScaleNormal="100" workbookViewId="0"/>
  </sheetViews>
  <sheetFormatPr defaultColWidth="9.453125" defaultRowHeight="15.5"/>
  <cols>
    <col min="1" max="1" width="4.1796875" style="4" customWidth="1"/>
    <col min="2" max="2" width="22.54296875" style="4" customWidth="1"/>
    <col min="3" max="10" width="8.81640625" style="4" customWidth="1"/>
    <col min="11" max="16" width="9.453125" style="4" customWidth="1"/>
    <col min="17" max="16384" width="9.453125" style="4"/>
  </cols>
  <sheetData>
    <row r="1" spans="1:22">
      <c r="A1" s="7"/>
    </row>
    <row r="2" spans="1:22">
      <c r="A2" s="124"/>
      <c r="C2" s="1474" t="s">
        <v>21</v>
      </c>
      <c r="D2" s="1474"/>
      <c r="E2" s="1474"/>
      <c r="F2" s="1474"/>
      <c r="G2" s="180" t="s">
        <v>22</v>
      </c>
      <c r="H2" s="180" t="s">
        <v>22</v>
      </c>
      <c r="I2" s="180" t="s">
        <v>21</v>
      </c>
      <c r="J2" s="180" t="s">
        <v>21</v>
      </c>
    </row>
    <row r="3" spans="1:22" ht="5.5" customHeight="1">
      <c r="G3" s="1470" t="s">
        <v>1220</v>
      </c>
      <c r="H3" s="1470" t="s">
        <v>1221</v>
      </c>
      <c r="I3" s="1470" t="s">
        <v>1222</v>
      </c>
      <c r="J3" s="1470" t="s">
        <v>1223</v>
      </c>
    </row>
    <row r="4" spans="1:22" ht="15.75" customHeight="1">
      <c r="C4" s="1472" t="s">
        <v>1224</v>
      </c>
      <c r="D4" s="1472"/>
      <c r="E4" s="1472"/>
      <c r="F4" s="1472"/>
      <c r="G4" s="1470"/>
      <c r="H4" s="1470"/>
      <c r="I4" s="1470"/>
      <c r="J4" s="1470" t="s">
        <v>1225</v>
      </c>
    </row>
    <row r="5" spans="1:22" s="7" customFormat="1">
      <c r="C5" s="181" t="s">
        <v>1225</v>
      </c>
      <c r="D5" s="181" t="s">
        <v>499</v>
      </c>
      <c r="E5" s="129" t="s">
        <v>1226</v>
      </c>
      <c r="F5" s="130" t="s">
        <v>1227</v>
      </c>
      <c r="G5" s="1471"/>
      <c r="H5" s="1471"/>
      <c r="I5" s="1471"/>
      <c r="J5" s="1471" t="s">
        <v>1228</v>
      </c>
      <c r="O5" s="4"/>
      <c r="P5" s="4"/>
      <c r="Q5" s="4"/>
      <c r="R5" s="4"/>
      <c r="S5" s="4"/>
      <c r="T5" s="4"/>
      <c r="U5" s="4"/>
      <c r="V5" s="4"/>
    </row>
    <row r="6" spans="1:22" ht="2.9" customHeight="1">
      <c r="E6" s="131"/>
    </row>
    <row r="7" spans="1:22">
      <c r="B7" s="506" t="s">
        <v>1921</v>
      </c>
      <c r="C7" s="112">
        <v>6.0699999999999997E-2</v>
      </c>
      <c r="D7" s="112">
        <v>5.8799999999999998E-2</v>
      </c>
      <c r="E7" s="112">
        <v>5.7500000000000002E-2</v>
      </c>
      <c r="F7" s="114">
        <f t="shared" ref="F7:F11" si="0">AVERAGE(C7,D7,E7)</f>
        <v>5.8999999999999997E-2</v>
      </c>
      <c r="G7" s="112">
        <v>4.8500000000000001E-2</v>
      </c>
      <c r="H7" s="112">
        <v>4.6300000000000001E-2</v>
      </c>
      <c r="I7" s="112">
        <v>5.4800000000000001E-2</v>
      </c>
      <c r="J7" s="112">
        <v>6.0900000000000003E-2</v>
      </c>
      <c r="L7" s="114">
        <f t="shared" ref="L7:L12" si="1">C7-G7</f>
        <v>1.2199999999999996E-2</v>
      </c>
      <c r="M7" s="114"/>
    </row>
    <row r="8" spans="1:22">
      <c r="B8" s="506" t="s">
        <v>1229</v>
      </c>
      <c r="C8" s="112">
        <v>5.8999999999999997E-2</v>
      </c>
      <c r="D8" s="112">
        <v>5.7299999999999997E-2</v>
      </c>
      <c r="E8" s="112">
        <v>5.6000000000000001E-2</v>
      </c>
      <c r="F8" s="114">
        <f t="shared" si="0"/>
        <v>5.7433333333333329E-2</v>
      </c>
      <c r="G8" s="112">
        <v>4.6800000000000001E-2</v>
      </c>
      <c r="H8" s="112">
        <v>4.4499999999999998E-2</v>
      </c>
      <c r="I8" s="112">
        <v>5.3199999999999997E-2</v>
      </c>
      <c r="J8" s="112">
        <v>5.9200000000000003E-2</v>
      </c>
      <c r="L8" s="114">
        <f t="shared" si="1"/>
        <v>1.2199999999999996E-2</v>
      </c>
      <c r="M8" s="114"/>
    </row>
    <row r="9" spans="1:22">
      <c r="B9" s="506" t="s">
        <v>1244</v>
      </c>
      <c r="C9" s="112">
        <v>5.91E-2</v>
      </c>
      <c r="D9" s="112">
        <v>5.7200000000000001E-2</v>
      </c>
      <c r="E9" s="112">
        <v>5.6099999999999997E-2</v>
      </c>
      <c r="F9" s="114">
        <f t="shared" si="0"/>
        <v>5.7466666666666666E-2</v>
      </c>
      <c r="G9" s="112">
        <v>4.5999999999999999E-2</v>
      </c>
      <c r="H9" s="112">
        <v>4.2799999999999998E-2</v>
      </c>
      <c r="I9" s="112">
        <v>5.2900000000000003E-2</v>
      </c>
      <c r="J9" s="112">
        <v>5.9299999999999999E-2</v>
      </c>
      <c r="L9" s="114">
        <f t="shared" si="1"/>
        <v>1.3100000000000001E-2</v>
      </c>
      <c r="M9" s="114"/>
    </row>
    <row r="10" spans="1:22">
      <c r="B10" s="506" t="s">
        <v>1234</v>
      </c>
      <c r="C10" s="112">
        <v>6.1100000000000002E-2</v>
      </c>
      <c r="D10" s="112">
        <v>5.91E-2</v>
      </c>
      <c r="E10" s="112">
        <v>5.7799999999999997E-2</v>
      </c>
      <c r="F10" s="114">
        <f t="shared" si="0"/>
        <v>5.9333333333333328E-2</v>
      </c>
      <c r="G10" s="112">
        <v>4.7100000000000003E-2</v>
      </c>
      <c r="H10" s="112">
        <v>4.2799999999999998E-2</v>
      </c>
      <c r="I10" s="112">
        <v>5.45E-2</v>
      </c>
      <c r="J10" s="112">
        <v>6.1800000000000001E-2</v>
      </c>
      <c r="L10" s="114">
        <f t="shared" si="1"/>
        <v>1.3999999999999999E-2</v>
      </c>
      <c r="M10" s="114"/>
    </row>
    <row r="11" spans="1:22">
      <c r="B11" s="506" t="s">
        <v>1920</v>
      </c>
      <c r="C11" s="112">
        <v>6.2300000000000001E-2</v>
      </c>
      <c r="D11" s="112">
        <v>6.0499999999999998E-2</v>
      </c>
      <c r="E11" s="112">
        <v>5.8999999999999997E-2</v>
      </c>
      <c r="F11" s="114">
        <f t="shared" si="0"/>
        <v>6.0599999999999994E-2</v>
      </c>
      <c r="G11" s="112">
        <v>4.9000000000000002E-2</v>
      </c>
      <c r="H11" s="112">
        <v>4.4200000000000003E-2</v>
      </c>
      <c r="I11" s="112">
        <v>5.5500000000000001E-2</v>
      </c>
      <c r="J11" s="112">
        <v>6.2899999999999998E-2</v>
      </c>
      <c r="L11" s="114">
        <f t="shared" si="1"/>
        <v>1.3299999999999999E-2</v>
      </c>
      <c r="M11" s="114"/>
    </row>
    <row r="12" spans="1:22" s="1361" customFormat="1">
      <c r="B12" s="1362" t="s">
        <v>1922</v>
      </c>
      <c r="C12" s="1363">
        <v>6.13E-2</v>
      </c>
      <c r="D12" s="1363">
        <v>5.9400000000000001E-2</v>
      </c>
      <c r="E12" s="1363">
        <v>5.79E-2</v>
      </c>
      <c r="F12" s="1364">
        <f t="shared" ref="F12" si="2">AVERAGE(C12,D12,E12)</f>
        <v>5.9533333333333334E-2</v>
      </c>
      <c r="G12" s="1363">
        <v>4.8899999999999999E-2</v>
      </c>
      <c r="H12" s="1363">
        <v>4.3799999999999999E-2</v>
      </c>
      <c r="I12" s="1363">
        <v>5.4699999999999999E-2</v>
      </c>
      <c r="J12" s="1363">
        <v>6.1600000000000002E-2</v>
      </c>
      <c r="L12" s="1364">
        <f t="shared" si="1"/>
        <v>1.2400000000000001E-2</v>
      </c>
      <c r="M12" s="1364"/>
    </row>
    <row r="13" spans="1:22" ht="1.75" customHeight="1">
      <c r="C13" s="507"/>
      <c r="D13" s="507"/>
      <c r="E13" s="508"/>
      <c r="F13" s="125"/>
      <c r="G13" s="125"/>
      <c r="H13" s="125"/>
      <c r="I13" s="125"/>
      <c r="J13" s="125"/>
    </row>
    <row r="14" spans="1:22" s="7" customFormat="1">
      <c r="B14" s="7" t="s">
        <v>47</v>
      </c>
      <c r="C14" s="115">
        <f t="shared" ref="C14:J14" si="3">ROUND(AVERAGE(C7:C12),4)</f>
        <v>6.0600000000000001E-2</v>
      </c>
      <c r="D14" s="115">
        <f t="shared" si="3"/>
        <v>5.8700000000000002E-2</v>
      </c>
      <c r="E14" s="115">
        <f t="shared" si="3"/>
        <v>5.74E-2</v>
      </c>
      <c r="F14" s="115">
        <f t="shared" si="3"/>
        <v>5.8900000000000001E-2</v>
      </c>
      <c r="G14" s="115">
        <f>ROUND(AVERAGE(G7:G12),4)</f>
        <v>4.7699999999999999E-2</v>
      </c>
      <c r="H14" s="115">
        <f t="shared" si="3"/>
        <v>4.41E-2</v>
      </c>
      <c r="I14" s="115">
        <f t="shared" si="3"/>
        <v>5.4300000000000001E-2</v>
      </c>
      <c r="J14" s="115">
        <f t="shared" si="3"/>
        <v>6.0999999999999999E-2</v>
      </c>
      <c r="O14" s="4"/>
      <c r="P14" s="4"/>
      <c r="Q14" s="4"/>
      <c r="R14" s="4"/>
      <c r="S14" s="4"/>
      <c r="T14" s="4"/>
      <c r="U14" s="4"/>
      <c r="V14" s="4"/>
    </row>
    <row r="15" spans="1:22" s="7" customFormat="1">
      <c r="C15" s="115"/>
      <c r="D15" s="115"/>
      <c r="F15" s="115"/>
      <c r="G15" s="115"/>
      <c r="H15" s="115"/>
      <c r="I15" s="115">
        <f>C14-I14</f>
        <v>6.3E-3</v>
      </c>
      <c r="O15" s="4"/>
      <c r="P15" s="4"/>
      <c r="Q15" s="4"/>
      <c r="R15" s="4"/>
      <c r="S15" s="4"/>
      <c r="T15" s="4"/>
      <c r="U15" s="4"/>
      <c r="V15" s="4"/>
    </row>
    <row r="16" spans="1:22">
      <c r="A16" s="7"/>
      <c r="B16" s="7"/>
      <c r="C16" s="115"/>
      <c r="D16" s="114"/>
      <c r="H16" s="114"/>
    </row>
    <row r="17" spans="1:22" s="8" customFormat="1">
      <c r="A17" s="8" t="s">
        <v>21</v>
      </c>
      <c r="B17" s="8" t="s">
        <v>1230</v>
      </c>
      <c r="C17" s="126"/>
      <c r="D17" s="126"/>
      <c r="H17" s="126"/>
      <c r="O17" s="4"/>
      <c r="P17" s="4"/>
      <c r="Q17" s="4"/>
      <c r="R17" s="4"/>
      <c r="S17" s="4"/>
      <c r="T17" s="4"/>
      <c r="U17" s="4"/>
      <c r="V17" s="4"/>
    </row>
    <row r="18" spans="1:22" s="8" customFormat="1" ht="13">
      <c r="A18" s="8" t="s">
        <v>22</v>
      </c>
      <c r="B18" s="8" t="s">
        <v>1231</v>
      </c>
      <c r="D18" s="126"/>
    </row>
    <row r="22" spans="1:22">
      <c r="C22" s="116">
        <v>2021</v>
      </c>
      <c r="D22" s="116">
        <v>2022</v>
      </c>
      <c r="E22" s="116">
        <v>2023</v>
      </c>
      <c r="F22" s="116">
        <v>2024</v>
      </c>
      <c r="G22" s="116">
        <v>2025</v>
      </c>
      <c r="H22" s="116">
        <v>2026</v>
      </c>
      <c r="I22" s="116">
        <v>2027</v>
      </c>
      <c r="J22" s="116">
        <v>2028</v>
      </c>
      <c r="K22" s="116">
        <v>2029</v>
      </c>
      <c r="L22" s="116">
        <v>2030</v>
      </c>
      <c r="M22" s="116">
        <v>3031</v>
      </c>
      <c r="N22" s="158"/>
      <c r="O22" s="15" t="s">
        <v>1535</v>
      </c>
      <c r="P22" s="116" t="s">
        <v>1536</v>
      </c>
      <c r="Q22" s="116" t="s">
        <v>1537</v>
      </c>
      <c r="R22" s="116" t="s">
        <v>1538</v>
      </c>
    </row>
    <row r="23" spans="1:22">
      <c r="A23" s="4" t="s">
        <v>48</v>
      </c>
      <c r="C23" s="179">
        <f>H48</f>
        <v>1.4425E-2</v>
      </c>
      <c r="D23" s="179">
        <f>H62</f>
        <v>2.9516666666666667E-2</v>
      </c>
      <c r="E23" s="179">
        <f>H76</f>
        <v>3.9574999999999999E-2</v>
      </c>
      <c r="F23" s="179">
        <f>H90</f>
        <v>4.2083333333333334E-2</v>
      </c>
      <c r="G23" s="179">
        <f>AVERAGE(O23:R23)</f>
        <v>4.3624999999999997E-2</v>
      </c>
      <c r="H23" s="179">
        <v>0.04</v>
      </c>
      <c r="I23" s="179">
        <v>4.1000000000000002E-2</v>
      </c>
      <c r="J23" s="179">
        <v>0.04</v>
      </c>
      <c r="K23" s="179">
        <v>0.04</v>
      </c>
      <c r="L23" s="179">
        <v>0.04</v>
      </c>
      <c r="M23" s="179">
        <v>0.04</v>
      </c>
      <c r="N23" s="158"/>
      <c r="O23" s="606">
        <v>4.4499999999999998E-2</v>
      </c>
      <c r="P23" s="79">
        <v>4.3999999999999997E-2</v>
      </c>
      <c r="Q23" s="79">
        <v>4.2999999999999997E-2</v>
      </c>
      <c r="R23" s="79">
        <v>4.2999999999999997E-2</v>
      </c>
    </row>
    <row r="24" spans="1:22">
      <c r="A24" s="4" t="s">
        <v>49</v>
      </c>
      <c r="C24" s="179">
        <f>G48</f>
        <v>2.0524999999999998E-2</v>
      </c>
      <c r="D24" s="179">
        <f>G62</f>
        <v>3.1149999999999997E-2</v>
      </c>
      <c r="E24" s="179">
        <f>G76</f>
        <v>4.0916666666666664E-2</v>
      </c>
      <c r="F24" s="179">
        <f>G90</f>
        <v>4.4058333333333331E-2</v>
      </c>
      <c r="G24" s="179">
        <f>AVERAGE(O24:R24)</f>
        <v>4.7024999999999997E-2</v>
      </c>
      <c r="H24" s="179">
        <v>4.4999999999999998E-2</v>
      </c>
      <c r="I24" s="179">
        <v>4.3999999999999997E-2</v>
      </c>
      <c r="J24" s="179">
        <v>4.3999999999999997E-2</v>
      </c>
      <c r="K24" s="179">
        <v>4.2999999999999997E-2</v>
      </c>
      <c r="L24" s="179">
        <v>4.2999999999999997E-2</v>
      </c>
      <c r="M24" s="179">
        <v>4.2999999999999997E-2</v>
      </c>
      <c r="N24" s="158"/>
      <c r="O24" s="606">
        <v>4.7100000000000003E-2</v>
      </c>
      <c r="P24" s="79">
        <v>4.8000000000000001E-2</v>
      </c>
      <c r="Q24" s="79">
        <v>4.7E-2</v>
      </c>
      <c r="R24" s="79">
        <v>4.5999999999999999E-2</v>
      </c>
    </row>
    <row r="25" spans="1:22">
      <c r="A25" s="4" t="s">
        <v>50</v>
      </c>
      <c r="C25" s="179">
        <f>I48</f>
        <v>2.7024999999999997E-2</v>
      </c>
      <c r="D25" s="179">
        <f>I62</f>
        <v>4.0725000000000004E-2</v>
      </c>
      <c r="E25" s="179">
        <f>I76</f>
        <v>4.8108333333333329E-2</v>
      </c>
      <c r="F25" s="179">
        <f>I90</f>
        <v>5.0441666666666683E-2</v>
      </c>
      <c r="G25" s="179">
        <f>AVERAGE(O25:R25)</f>
        <v>5.3849999999999995E-2</v>
      </c>
      <c r="H25" s="179">
        <v>5.1999999999999998E-2</v>
      </c>
      <c r="I25" s="179">
        <v>5.1999999999999998E-2</v>
      </c>
      <c r="J25" s="179">
        <v>5.1999999999999998E-2</v>
      </c>
      <c r="K25" s="179">
        <v>5.0999999999999997E-2</v>
      </c>
      <c r="L25" s="179">
        <v>5.0999999999999997E-2</v>
      </c>
      <c r="M25" s="179">
        <v>5.0999999999999997E-2</v>
      </c>
      <c r="N25" s="158"/>
      <c r="O25" s="606">
        <v>5.4399999999999997E-2</v>
      </c>
      <c r="P25" s="79">
        <v>5.3999999999999999E-2</v>
      </c>
      <c r="Q25" s="79">
        <v>5.3999999999999999E-2</v>
      </c>
      <c r="R25" s="79">
        <v>5.2999999999999999E-2</v>
      </c>
    </row>
    <row r="26" spans="1:22">
      <c r="A26" s="4" t="s">
        <v>51</v>
      </c>
      <c r="C26" s="179">
        <f>C48</f>
        <v>3.3541666666666671E-2</v>
      </c>
      <c r="D26" s="179">
        <f>C62</f>
        <v>5.028333333333334E-2</v>
      </c>
      <c r="E26" s="179">
        <f>C76</f>
        <v>5.8416666666666665E-2</v>
      </c>
      <c r="F26" s="179">
        <f>C90</f>
        <v>5.7625000000000003E-2</v>
      </c>
      <c r="G26" s="179">
        <f t="shared" ref="G26:L26" si="4">G25+$I$15</f>
        <v>6.0149999999999995E-2</v>
      </c>
      <c r="H26" s="179">
        <f t="shared" si="4"/>
        <v>5.8299999999999998E-2</v>
      </c>
      <c r="I26" s="179">
        <f t="shared" si="4"/>
        <v>5.8299999999999998E-2</v>
      </c>
      <c r="J26" s="179">
        <f t="shared" si="4"/>
        <v>5.8299999999999998E-2</v>
      </c>
      <c r="K26" s="179">
        <f t="shared" si="4"/>
        <v>5.7299999999999997E-2</v>
      </c>
      <c r="L26" s="179">
        <f t="shared" si="4"/>
        <v>5.7299999999999997E-2</v>
      </c>
      <c r="M26" s="179">
        <f t="shared" ref="M26" si="5">M25+$I$15</f>
        <v>5.7299999999999997E-2</v>
      </c>
      <c r="N26" s="158"/>
      <c r="O26" s="80"/>
      <c r="P26" s="80"/>
      <c r="Q26" s="80"/>
      <c r="R26" s="80"/>
    </row>
    <row r="27" spans="1:22">
      <c r="C27" s="127"/>
      <c r="D27" s="127"/>
      <c r="E27" s="127"/>
      <c r="F27" s="127"/>
      <c r="G27" s="127"/>
      <c r="H27" s="159"/>
      <c r="J27" s="80"/>
      <c r="K27" s="80"/>
      <c r="L27" s="80"/>
      <c r="M27" s="80"/>
      <c r="N27" s="158"/>
    </row>
    <row r="28" spans="1:22">
      <c r="A28" s="125" t="s">
        <v>1232</v>
      </c>
      <c r="B28" s="125"/>
      <c r="N28" s="158"/>
    </row>
    <row r="29" spans="1:22">
      <c r="A29" s="8"/>
      <c r="B29" s="5" t="s">
        <v>1548</v>
      </c>
      <c r="C29" s="8"/>
      <c r="D29" s="8"/>
      <c r="E29" s="8"/>
      <c r="F29" s="8"/>
      <c r="G29" s="8"/>
      <c r="H29" s="8"/>
      <c r="I29" s="8"/>
      <c r="J29" s="8"/>
      <c r="K29" s="8"/>
      <c r="L29" s="8"/>
      <c r="M29" s="8"/>
      <c r="N29" s="8"/>
    </row>
    <row r="30" spans="1:22">
      <c r="A30" s="8"/>
      <c r="B30" s="8"/>
      <c r="C30" s="8"/>
      <c r="D30" s="8"/>
      <c r="E30" s="8"/>
      <c r="F30" s="8"/>
      <c r="G30" s="8"/>
      <c r="H30" s="8"/>
      <c r="I30" s="8"/>
      <c r="J30" s="8"/>
      <c r="K30" s="8"/>
      <c r="L30" s="8"/>
      <c r="M30" s="8"/>
      <c r="N30" s="8"/>
    </row>
    <row r="31" spans="1:22">
      <c r="B31" s="704"/>
      <c r="C31" s="704"/>
      <c r="D31" s="704"/>
      <c r="E31" s="704"/>
      <c r="F31" s="704"/>
      <c r="G31" s="704"/>
      <c r="H31" s="704"/>
    </row>
    <row r="32" spans="1:22">
      <c r="A32" s="8"/>
      <c r="B32" s="8"/>
      <c r="C32" s="704"/>
      <c r="D32" s="704"/>
      <c r="E32" s="704"/>
      <c r="F32" s="704"/>
      <c r="G32" s="704"/>
      <c r="H32" s="704"/>
    </row>
    <row r="33" spans="2:10">
      <c r="B33" s="1"/>
      <c r="C33" s="1423" t="s">
        <v>21</v>
      </c>
      <c r="D33" s="1423"/>
      <c r="E33" s="1423"/>
      <c r="F33" s="1423"/>
      <c r="G33" s="12" t="s">
        <v>22</v>
      </c>
      <c r="H33" s="12" t="s">
        <v>22</v>
      </c>
      <c r="I33" s="12" t="s">
        <v>21</v>
      </c>
      <c r="J33" s="705"/>
    </row>
    <row r="34" spans="2:10">
      <c r="B34" s="1"/>
      <c r="C34" s="1473" t="s">
        <v>1224</v>
      </c>
      <c r="D34" s="1473"/>
      <c r="E34" s="1473"/>
      <c r="F34" s="1473"/>
      <c r="G34" s="705" t="s">
        <v>1539</v>
      </c>
      <c r="H34" s="705" t="s">
        <v>1540</v>
      </c>
      <c r="I34" s="705" t="s">
        <v>504</v>
      </c>
      <c r="J34" s="705" t="s">
        <v>1225</v>
      </c>
    </row>
    <row r="35" spans="2:10">
      <c r="B35" s="2"/>
      <c r="C35" s="182" t="s">
        <v>1225</v>
      </c>
      <c r="D35" s="182" t="s">
        <v>499</v>
      </c>
      <c r="E35" s="182" t="s">
        <v>1541</v>
      </c>
      <c r="F35" s="706" t="s">
        <v>1227</v>
      </c>
      <c r="G35" s="707" t="s">
        <v>1542</v>
      </c>
      <c r="H35" s="707" t="s">
        <v>1542</v>
      </c>
      <c r="I35" s="707" t="s">
        <v>1228</v>
      </c>
      <c r="J35" s="707" t="s">
        <v>1228</v>
      </c>
    </row>
    <row r="36" spans="2:10">
      <c r="B36" s="1" t="s">
        <v>1249</v>
      </c>
      <c r="C36" s="112">
        <v>3.1800000000000002E-2</v>
      </c>
      <c r="D36" s="112">
        <v>2.9100000000000001E-2</v>
      </c>
      <c r="E36" s="112">
        <v>2.7300000000000001E-2</v>
      </c>
      <c r="F36" s="112">
        <f t="shared" ref="F36:F47" si="6">AVERAGE(C36,D36,E36)</f>
        <v>2.9399999999999999E-2</v>
      </c>
      <c r="G36" s="112">
        <v>1.8200000000000001E-2</v>
      </c>
      <c r="H36" s="112">
        <v>1.0800000000000001E-2</v>
      </c>
      <c r="I36" s="112">
        <v>2.4500000000000001E-2</v>
      </c>
      <c r="J36" s="112">
        <v>3.2399999999999998E-2</v>
      </c>
    </row>
    <row r="37" spans="2:10">
      <c r="B37" s="1" t="s">
        <v>1229</v>
      </c>
      <c r="C37" s="112">
        <v>3.3700000000000001E-2</v>
      </c>
      <c r="D37" s="112">
        <v>3.09E-2</v>
      </c>
      <c r="E37" s="112">
        <v>2.93E-2</v>
      </c>
      <c r="F37" s="112">
        <f t="shared" si="6"/>
        <v>3.1300000000000001E-2</v>
      </c>
      <c r="G37" s="112">
        <v>2.0400000000000001E-2</v>
      </c>
      <c r="H37" s="112">
        <v>1.26E-2</v>
      </c>
      <c r="I37" s="112">
        <v>2.7E-2</v>
      </c>
      <c r="J37" s="112">
        <v>3.4200000000000001E-2</v>
      </c>
    </row>
    <row r="38" spans="2:10">
      <c r="B38" s="1" t="s">
        <v>1244</v>
      </c>
      <c r="C38" s="112">
        <v>3.7199999999999997E-2</v>
      </c>
      <c r="D38" s="112">
        <v>3.44E-2</v>
      </c>
      <c r="E38" s="112">
        <v>3.27E-2</v>
      </c>
      <c r="F38" s="112">
        <f t="shared" si="6"/>
        <v>3.4766666666666668E-2</v>
      </c>
      <c r="G38" s="112">
        <v>2.3400000000000001E-2</v>
      </c>
      <c r="H38" s="112">
        <v>1.61E-2</v>
      </c>
      <c r="I38" s="112">
        <v>3.04E-2</v>
      </c>
      <c r="J38" s="112">
        <v>3.7400000000000003E-2</v>
      </c>
    </row>
    <row r="39" spans="2:10">
      <c r="B39" s="1" t="s">
        <v>1234</v>
      </c>
      <c r="C39" s="112">
        <v>3.5700000000000003E-2</v>
      </c>
      <c r="D39" s="112">
        <v>3.3000000000000002E-2</v>
      </c>
      <c r="E39" s="112">
        <v>3.1300000000000001E-2</v>
      </c>
      <c r="F39" s="112">
        <f t="shared" si="6"/>
        <v>3.3333333333333333E-2</v>
      </c>
      <c r="G39" s="112">
        <v>2.3E-2</v>
      </c>
      <c r="H39" s="112">
        <v>1.6400000000000001E-2</v>
      </c>
      <c r="I39" s="112">
        <v>2.9000000000000001E-2</v>
      </c>
      <c r="J39" s="112">
        <v>3.5999999999999997E-2</v>
      </c>
    </row>
    <row r="40" spans="2:10">
      <c r="B40" s="1" t="s">
        <v>1235</v>
      </c>
      <c r="C40" s="112">
        <v>3.5799999999999998E-2</v>
      </c>
      <c r="D40" s="112">
        <v>3.3300000000000003E-2</v>
      </c>
      <c r="E40" s="112">
        <v>3.1699999999999999E-2</v>
      </c>
      <c r="F40" s="112">
        <f t="shared" si="6"/>
        <v>3.3599999999999998E-2</v>
      </c>
      <c r="G40" s="112">
        <v>2.3199999999999998E-2</v>
      </c>
      <c r="H40" s="112">
        <v>1.6199999999999999E-2</v>
      </c>
      <c r="I40" s="112">
        <v>2.9600000000000001E-2</v>
      </c>
      <c r="J40" s="112">
        <v>3.6200000000000003E-2</v>
      </c>
    </row>
    <row r="41" spans="2:10">
      <c r="B41" s="1" t="s">
        <v>1236</v>
      </c>
      <c r="C41" s="112">
        <v>3.4099999999999998E-2</v>
      </c>
      <c r="D41" s="112">
        <v>3.1600000000000003E-2</v>
      </c>
      <c r="E41" s="112">
        <v>3.0099999999999998E-2</v>
      </c>
      <c r="F41" s="112">
        <f t="shared" si="6"/>
        <v>3.1933333333333334E-2</v>
      </c>
      <c r="G41" s="112">
        <v>2.1600000000000001E-2</v>
      </c>
      <c r="H41" s="112">
        <v>1.52E-2</v>
      </c>
      <c r="I41" s="112">
        <v>2.7900000000000001E-2</v>
      </c>
      <c r="J41" s="112">
        <v>3.6200000000000003E-2</v>
      </c>
    </row>
    <row r="42" spans="2:10">
      <c r="B42" s="1" t="s">
        <v>1245</v>
      </c>
      <c r="C42" s="112">
        <v>3.2000000000000001E-2</v>
      </c>
      <c r="D42" s="112">
        <v>2.9499999999999998E-2</v>
      </c>
      <c r="E42" s="112">
        <v>2.8000000000000001E-2</v>
      </c>
      <c r="F42" s="112">
        <f t="shared" si="6"/>
        <v>2.9833333333333333E-2</v>
      </c>
      <c r="G42" s="112">
        <v>1.9400000000000001E-2</v>
      </c>
      <c r="H42" s="112">
        <v>1.32E-2</v>
      </c>
      <c r="I42" s="112">
        <v>2.5700000000000001E-2</v>
      </c>
      <c r="J42" s="112">
        <v>3.2399999999999998E-2</v>
      </c>
    </row>
    <row r="43" spans="2:10">
      <c r="B43" s="1" t="s">
        <v>1246</v>
      </c>
      <c r="C43" s="112">
        <v>3.1899999999999998E-2</v>
      </c>
      <c r="D43" s="112">
        <v>2.9499999999999998E-2</v>
      </c>
      <c r="E43" s="112">
        <v>2.8199999999999999E-2</v>
      </c>
      <c r="F43" s="112">
        <f t="shared" si="6"/>
        <v>2.9866666666666666E-2</v>
      </c>
      <c r="G43" s="112">
        <v>1.9199999999999998E-2</v>
      </c>
      <c r="H43" s="112">
        <v>1.2800000000000001E-2</v>
      </c>
      <c r="I43" s="112">
        <v>2.5499999999999998E-2</v>
      </c>
      <c r="J43" s="112">
        <v>3.2399999999999998E-2</v>
      </c>
    </row>
    <row r="44" spans="2:10">
      <c r="B44" s="1" t="s">
        <v>1238</v>
      </c>
      <c r="C44" s="112">
        <v>3.1899999999999998E-2</v>
      </c>
      <c r="D44" s="112">
        <v>2.9600000000000001E-2</v>
      </c>
      <c r="E44" s="112">
        <v>2.8400000000000002E-2</v>
      </c>
      <c r="F44" s="112">
        <f t="shared" si="6"/>
        <v>2.9966666666666669E-2</v>
      </c>
      <c r="G44" s="112">
        <v>1.9400000000000001E-2</v>
      </c>
      <c r="H44" s="112">
        <v>1.37E-2</v>
      </c>
      <c r="I44" s="112">
        <v>2.53E-2</v>
      </c>
      <c r="J44" s="112">
        <v>3.2300000000000002E-2</v>
      </c>
    </row>
    <row r="45" spans="2:10">
      <c r="B45" s="1" t="s">
        <v>1247</v>
      </c>
      <c r="C45" s="112">
        <v>3.32E-2</v>
      </c>
      <c r="D45" s="112">
        <v>3.09E-2</v>
      </c>
      <c r="E45" s="112">
        <v>2.9899999999999999E-2</v>
      </c>
      <c r="F45" s="112">
        <f t="shared" si="6"/>
        <v>3.1333333333333331E-2</v>
      </c>
      <c r="G45" s="112">
        <v>2.06E-2</v>
      </c>
      <c r="H45" s="112">
        <v>1.5800000000000002E-2</v>
      </c>
      <c r="I45" s="112">
        <v>2.6800000000000001E-2</v>
      </c>
      <c r="J45" s="112">
        <v>3.3500000000000002E-2</v>
      </c>
    </row>
    <row r="46" spans="2:10">
      <c r="B46" s="1" t="s">
        <v>1240</v>
      </c>
      <c r="C46" s="112">
        <v>3.2500000000000001E-2</v>
      </c>
      <c r="D46" s="112">
        <v>3.0200000000000001E-2</v>
      </c>
      <c r="E46" s="112">
        <v>2.9100000000000001E-2</v>
      </c>
      <c r="F46" s="112">
        <f t="shared" si="6"/>
        <v>3.0600000000000002E-2</v>
      </c>
      <c r="G46" s="112">
        <v>1.9400000000000001E-2</v>
      </c>
      <c r="H46" s="112">
        <v>1.5599999999999999E-2</v>
      </c>
      <c r="I46" s="112">
        <v>2.6200000000000001E-2</v>
      </c>
      <c r="J46" s="112">
        <v>3.2800000000000003E-2</v>
      </c>
    </row>
    <row r="47" spans="2:10">
      <c r="B47" s="19" t="s">
        <v>1543</v>
      </c>
      <c r="C47" s="160">
        <v>3.27E-2</v>
      </c>
      <c r="D47" s="160">
        <v>3.04E-2</v>
      </c>
      <c r="E47" s="160">
        <v>2.92E-2</v>
      </c>
      <c r="F47" s="160">
        <f t="shared" si="6"/>
        <v>3.0766666666666668E-2</v>
      </c>
      <c r="G47" s="160">
        <v>1.8499999999999999E-2</v>
      </c>
      <c r="H47" s="160">
        <v>1.47E-2</v>
      </c>
      <c r="I47" s="160">
        <v>2.64E-2</v>
      </c>
      <c r="J47" s="160">
        <v>3.3000000000000002E-2</v>
      </c>
    </row>
    <row r="48" spans="2:10">
      <c r="B48" s="2" t="s">
        <v>1242</v>
      </c>
      <c r="C48" s="161">
        <f>AVERAGE(C36:C47)</f>
        <v>3.3541666666666671E-2</v>
      </c>
      <c r="D48" s="161">
        <f t="shared" ref="D48:J48" si="7">AVERAGE(D36:D47)</f>
        <v>3.1033333333333333E-2</v>
      </c>
      <c r="E48" s="161">
        <f t="shared" si="7"/>
        <v>2.9599999999999998E-2</v>
      </c>
      <c r="F48" s="161">
        <f t="shared" si="7"/>
        <v>3.1391666666666672E-2</v>
      </c>
      <c r="G48" s="161">
        <f t="shared" si="7"/>
        <v>2.0524999999999998E-2</v>
      </c>
      <c r="H48" s="161">
        <f t="shared" si="7"/>
        <v>1.4425E-2</v>
      </c>
      <c r="I48" s="161">
        <f t="shared" si="7"/>
        <v>2.7024999999999997E-2</v>
      </c>
      <c r="J48" s="161">
        <f t="shared" si="7"/>
        <v>3.4066666666666662E-2</v>
      </c>
    </row>
    <row r="49" spans="2:10">
      <c r="B49" s="2"/>
      <c r="C49" s="175"/>
      <c r="D49" s="175"/>
      <c r="E49" s="175"/>
      <c r="F49" s="63"/>
      <c r="G49" s="705"/>
      <c r="H49" s="705"/>
      <c r="I49" s="705"/>
      <c r="J49" s="705"/>
    </row>
    <row r="50" spans="2:10">
      <c r="B50" s="1" t="s">
        <v>1243</v>
      </c>
      <c r="C50" s="112">
        <v>3.5700000000000003E-2</v>
      </c>
      <c r="D50" s="112">
        <v>3.3300000000000003E-2</v>
      </c>
      <c r="E50" s="112">
        <v>3.1899999999999998E-2</v>
      </c>
      <c r="F50" s="112">
        <f t="shared" ref="F50:F60" si="8">AVERAGE(C50,D50,E50)</f>
        <v>3.3633333333333335E-2</v>
      </c>
      <c r="G50" s="112">
        <v>2.1000000000000001E-2</v>
      </c>
      <c r="H50" s="112">
        <v>1.7600000000000001E-2</v>
      </c>
      <c r="I50" s="112">
        <v>2.93E-2</v>
      </c>
      <c r="J50" s="112">
        <v>3.5900000000000001E-2</v>
      </c>
    </row>
    <row r="51" spans="2:10">
      <c r="B51" s="1" t="s">
        <v>1229</v>
      </c>
      <c r="C51" s="112">
        <v>3.95E-2</v>
      </c>
      <c r="D51" s="112">
        <v>3.6799999999999999E-2</v>
      </c>
      <c r="E51" s="112">
        <v>3.56E-2</v>
      </c>
      <c r="F51" s="112">
        <f t="shared" si="8"/>
        <v>3.73E-2</v>
      </c>
      <c r="G51" s="112">
        <v>2.2499999999999999E-2</v>
      </c>
      <c r="H51" s="112">
        <v>1.9300000000000001E-2</v>
      </c>
      <c r="I51" s="112">
        <v>3.2500000000000001E-2</v>
      </c>
      <c r="J51" s="112">
        <v>3.9699999999999999E-2</v>
      </c>
    </row>
    <row r="52" spans="2:10">
      <c r="B52" s="1" t="s">
        <v>1244</v>
      </c>
      <c r="C52" s="112">
        <v>4.2799999999999998E-2</v>
      </c>
      <c r="D52" s="112">
        <v>3.9800000000000002E-2</v>
      </c>
      <c r="E52" s="112">
        <v>3.8100000000000002E-2</v>
      </c>
      <c r="F52" s="112">
        <f t="shared" si="8"/>
        <v>4.0233333333333336E-2</v>
      </c>
      <c r="G52" s="112">
        <v>2.41E-2</v>
      </c>
      <c r="H52" s="112">
        <v>2.1299999999999999E-2</v>
      </c>
      <c r="I52" s="112">
        <v>3.4299999999999997E-2</v>
      </c>
      <c r="J52" s="112">
        <v>4.2900000000000001E-2</v>
      </c>
    </row>
    <row r="53" spans="2:10">
      <c r="B53" s="1" t="s">
        <v>1234</v>
      </c>
      <c r="C53" s="112">
        <v>4.6100000000000002E-2</v>
      </c>
      <c r="D53" s="112">
        <v>4.3200000000000002E-2</v>
      </c>
      <c r="E53" s="112">
        <v>4.1000000000000002E-2</v>
      </c>
      <c r="F53" s="112">
        <f t="shared" si="8"/>
        <v>4.3433333333333331E-2</v>
      </c>
      <c r="G53" s="112">
        <v>2.81E-2</v>
      </c>
      <c r="H53" s="112">
        <v>2.75E-2</v>
      </c>
      <c r="I53" s="112">
        <v>3.7600000000000001E-2</v>
      </c>
      <c r="J53" s="112">
        <v>4.6600000000000003E-2</v>
      </c>
    </row>
    <row r="54" spans="2:10">
      <c r="B54" s="1" t="s">
        <v>1235</v>
      </c>
      <c r="C54" s="112">
        <v>5.0700000000000002E-2</v>
      </c>
      <c r="D54" s="112">
        <v>4.7500000000000001E-2</v>
      </c>
      <c r="E54" s="112">
        <v>4.5499999999999999E-2</v>
      </c>
      <c r="F54" s="112">
        <f t="shared" si="8"/>
        <v>4.7899999999999998E-2</v>
      </c>
      <c r="G54" s="112">
        <v>3.0700000000000002E-2</v>
      </c>
      <c r="H54" s="112">
        <v>2.9000000000000001E-2</v>
      </c>
      <c r="I54" s="112">
        <v>4.1300000000000003E-2</v>
      </c>
      <c r="J54" s="112">
        <v>5.1200000000000002E-2</v>
      </c>
    </row>
    <row r="55" spans="2:10">
      <c r="B55" s="1" t="s">
        <v>1236</v>
      </c>
      <c r="C55" s="112">
        <v>5.2200000000000003E-2</v>
      </c>
      <c r="D55" s="112">
        <v>4.8599999999999997E-2</v>
      </c>
      <c r="E55" s="112">
        <v>4.65E-2</v>
      </c>
      <c r="F55" s="112">
        <f t="shared" si="8"/>
        <v>4.9099999999999998E-2</v>
      </c>
      <c r="G55" s="112">
        <v>3.2500000000000001E-2</v>
      </c>
      <c r="H55" s="112">
        <v>3.1399999999999997E-2</v>
      </c>
      <c r="I55" s="112">
        <v>4.24E-2</v>
      </c>
      <c r="J55" s="112">
        <v>5.2699999999999997E-2</v>
      </c>
    </row>
    <row r="56" spans="2:10">
      <c r="B56" s="1" t="s">
        <v>1245</v>
      </c>
      <c r="C56" s="112">
        <v>5.1499999999999997E-2</v>
      </c>
      <c r="D56" s="112">
        <v>4.7800000000000002E-2</v>
      </c>
      <c r="E56" s="112">
        <v>4.5699999999999998E-2</v>
      </c>
      <c r="F56" s="112">
        <f t="shared" si="8"/>
        <v>4.8333333333333332E-2</v>
      </c>
      <c r="G56" s="112">
        <v>3.1E-2</v>
      </c>
      <c r="H56" s="112">
        <v>2.9000000000000001E-2</v>
      </c>
      <c r="I56" s="112">
        <v>4.0599999999999997E-2</v>
      </c>
      <c r="J56" s="112">
        <v>5.21E-2</v>
      </c>
    </row>
    <row r="57" spans="2:10">
      <c r="B57" s="19" t="s">
        <v>1246</v>
      </c>
      <c r="C57" s="112">
        <v>5.0900000000000001E-2</v>
      </c>
      <c r="D57" s="112">
        <v>4.7600000000000003E-2</v>
      </c>
      <c r="E57" s="112">
        <v>4.5400000000000003E-2</v>
      </c>
      <c r="F57" s="112">
        <f t="shared" si="8"/>
        <v>4.7966666666666664E-2</v>
      </c>
      <c r="G57" s="112">
        <v>3.1300000000000001E-2</v>
      </c>
      <c r="H57" s="112">
        <v>2.9000000000000001E-2</v>
      </c>
      <c r="I57" s="112">
        <v>4.07E-2</v>
      </c>
      <c r="J57" s="112">
        <v>5.1499999999999997E-2</v>
      </c>
    </row>
    <row r="58" spans="2:10">
      <c r="B58" s="19" t="s">
        <v>1238</v>
      </c>
      <c r="C58" s="112">
        <v>5.6099999999999997E-2</v>
      </c>
      <c r="D58" s="112">
        <v>5.28E-2</v>
      </c>
      <c r="E58" s="112">
        <v>5.0799999999999998E-2</v>
      </c>
      <c r="F58" s="112">
        <f t="shared" si="8"/>
        <v>5.3233333333333334E-2</v>
      </c>
      <c r="G58" s="112">
        <v>3.56E-2</v>
      </c>
      <c r="H58" s="112">
        <v>3.5200000000000002E-2</v>
      </c>
      <c r="I58" s="112">
        <v>4.5900000000000003E-2</v>
      </c>
      <c r="J58" s="112">
        <v>5.6899999999999999E-2</v>
      </c>
    </row>
    <row r="59" spans="2:10">
      <c r="B59" s="19" t="s">
        <v>1247</v>
      </c>
      <c r="C59" s="112">
        <v>6.1800000000000001E-2</v>
      </c>
      <c r="D59" s="112">
        <v>5.8799999999999998E-2</v>
      </c>
      <c r="E59" s="112">
        <v>5.6800000000000003E-2</v>
      </c>
      <c r="F59" s="112">
        <f t="shared" si="8"/>
        <v>5.9133333333333336E-2</v>
      </c>
      <c r="G59" s="112">
        <v>4.0399999999999998E-2</v>
      </c>
      <c r="H59" s="112">
        <v>3.9800000000000002E-2</v>
      </c>
      <c r="I59" s="112">
        <v>5.0999999999999997E-2</v>
      </c>
      <c r="J59" s="112">
        <v>6.2600000000000003E-2</v>
      </c>
    </row>
    <row r="60" spans="2:10">
      <c r="B60" s="19" t="s">
        <v>1240</v>
      </c>
      <c r="C60" s="112">
        <v>6.0499999999999998E-2</v>
      </c>
      <c r="D60" s="112">
        <v>5.7500000000000002E-2</v>
      </c>
      <c r="E60" s="112">
        <v>5.5399999999999998E-2</v>
      </c>
      <c r="F60" s="112">
        <f t="shared" si="8"/>
        <v>5.7799999999999997E-2</v>
      </c>
      <c r="G60" s="112">
        <v>0.04</v>
      </c>
      <c r="H60" s="112">
        <v>3.8899999999999997E-2</v>
      </c>
      <c r="I60" s="112">
        <v>4.9000000000000002E-2</v>
      </c>
      <c r="J60" s="112">
        <v>6.0699999999999997E-2</v>
      </c>
    </row>
    <row r="61" spans="2:10">
      <c r="B61" s="19" t="s">
        <v>1248</v>
      </c>
      <c r="C61" s="112">
        <v>5.5599999999999997E-2</v>
      </c>
      <c r="D61" s="112">
        <v>5.2699999999999997E-2</v>
      </c>
      <c r="E61" s="112">
        <v>5.04E-2</v>
      </c>
      <c r="F61" s="112">
        <f>AVERAGE(C61,D61,E61)</f>
        <v>5.2900000000000003E-2</v>
      </c>
      <c r="G61" s="112">
        <v>3.6600000000000001E-2</v>
      </c>
      <c r="H61" s="112">
        <v>3.6200000000000003E-2</v>
      </c>
      <c r="I61" s="112">
        <v>4.41E-2</v>
      </c>
      <c r="J61" s="112">
        <v>5.5800000000000002E-2</v>
      </c>
    </row>
    <row r="62" spans="2:10">
      <c r="B62" s="2" t="s">
        <v>1242</v>
      </c>
      <c r="C62" s="708">
        <f t="shared" ref="C62:J62" si="9">AVERAGE(C50:C61)</f>
        <v>5.028333333333334E-2</v>
      </c>
      <c r="D62" s="708">
        <f t="shared" si="9"/>
        <v>4.7199999999999999E-2</v>
      </c>
      <c r="E62" s="708">
        <f t="shared" si="9"/>
        <v>4.5258333333333338E-2</v>
      </c>
      <c r="F62" s="708">
        <f t="shared" si="9"/>
        <v>4.758055555555555E-2</v>
      </c>
      <c r="G62" s="708">
        <f t="shared" si="9"/>
        <v>3.1149999999999997E-2</v>
      </c>
      <c r="H62" s="708">
        <f t="shared" si="9"/>
        <v>2.9516666666666667E-2</v>
      </c>
      <c r="I62" s="708">
        <f t="shared" si="9"/>
        <v>4.0725000000000004E-2</v>
      </c>
      <c r="J62" s="708">
        <f t="shared" si="9"/>
        <v>5.071666666666666E-2</v>
      </c>
    </row>
    <row r="64" spans="2:10">
      <c r="B64" s="19" t="s">
        <v>1233</v>
      </c>
      <c r="C64" s="112">
        <v>5.4899999999999997E-2</v>
      </c>
      <c r="D64" s="112">
        <v>5.1999999999999998E-2</v>
      </c>
      <c r="E64" s="112">
        <v>4.9799999999999997E-2</v>
      </c>
      <c r="F64" s="112">
        <f t="shared" ref="F64:F74" si="10">AVERAGE(C64,D64,E64)</f>
        <v>5.2233333333333333E-2</v>
      </c>
      <c r="G64" s="112">
        <v>3.6600000000000001E-2</v>
      </c>
      <c r="H64" s="112">
        <v>3.5299999999999998E-2</v>
      </c>
      <c r="I64" s="112">
        <v>4.3999999999999997E-2</v>
      </c>
      <c r="J64" s="112">
        <v>5.5100000000000003E-2</v>
      </c>
    </row>
    <row r="65" spans="2:10">
      <c r="B65" s="19" t="s">
        <v>1229</v>
      </c>
      <c r="C65" s="112">
        <v>5.5399999999999998E-2</v>
      </c>
      <c r="D65" s="112">
        <v>5.2900000000000003E-2</v>
      </c>
      <c r="E65" s="112">
        <v>5.1200000000000002E-2</v>
      </c>
      <c r="F65" s="112">
        <f t="shared" si="10"/>
        <v>5.3166666666666668E-2</v>
      </c>
      <c r="G65" s="112">
        <v>3.7999999999999999E-2</v>
      </c>
      <c r="H65" s="112">
        <v>3.7499999999999999E-2</v>
      </c>
      <c r="I65" s="112">
        <v>4.5600000000000002E-2</v>
      </c>
      <c r="J65" s="112">
        <v>5.5899999999999998E-2</v>
      </c>
    </row>
    <row r="66" spans="2:10">
      <c r="B66" s="19" t="s">
        <v>53</v>
      </c>
      <c r="C66" s="112">
        <v>5.6800000000000003E-2</v>
      </c>
      <c r="D66" s="112">
        <v>5.3900000000000003E-2</v>
      </c>
      <c r="E66" s="112">
        <v>5.2400000000000002E-2</v>
      </c>
      <c r="F66" s="112">
        <f t="shared" si="10"/>
        <v>5.4366666666666674E-2</v>
      </c>
      <c r="G66" s="112">
        <v>3.7699999999999997E-2</v>
      </c>
      <c r="H66" s="112">
        <v>3.6600000000000001E-2</v>
      </c>
      <c r="I66" s="112">
        <v>4.5999999999999999E-2</v>
      </c>
      <c r="J66" s="112">
        <v>5.7099999999999998E-2</v>
      </c>
    </row>
    <row r="67" spans="2:10">
      <c r="B67" s="19" t="s">
        <v>1234</v>
      </c>
      <c r="C67" s="112">
        <v>5.4699999999999999E-2</v>
      </c>
      <c r="D67" s="112">
        <v>5.1299999999999998E-2</v>
      </c>
      <c r="E67" s="112">
        <v>0.05</v>
      </c>
      <c r="F67" s="112">
        <f t="shared" si="10"/>
        <v>5.1999999999999998E-2</v>
      </c>
      <c r="G67" s="112">
        <v>3.6799999999999999E-2</v>
      </c>
      <c r="H67" s="112">
        <v>3.4599999999999999E-2</v>
      </c>
      <c r="I67" s="112">
        <v>4.4699999999999997E-2</v>
      </c>
      <c r="J67" s="112">
        <v>5.5300000000000002E-2</v>
      </c>
    </row>
    <row r="68" spans="2:10">
      <c r="B68" s="19" t="s">
        <v>1235</v>
      </c>
      <c r="C68" s="112">
        <v>5.7099999999999998E-2</v>
      </c>
      <c r="D68" s="112">
        <v>5.3600000000000002E-2</v>
      </c>
      <c r="E68" s="112">
        <v>5.2400000000000002E-2</v>
      </c>
      <c r="F68" s="112">
        <f t="shared" si="10"/>
        <v>5.4366666666666667E-2</v>
      </c>
      <c r="G68" s="112">
        <v>3.8600000000000002E-2</v>
      </c>
      <c r="H68" s="112">
        <v>3.5700000000000003E-2</v>
      </c>
      <c r="I68" s="112">
        <v>4.6699999999999998E-2</v>
      </c>
      <c r="J68" s="112">
        <v>5.7700000000000001E-2</v>
      </c>
    </row>
    <row r="69" spans="2:10">
      <c r="B69" s="19" t="s">
        <v>1236</v>
      </c>
      <c r="C69" s="112">
        <v>5.74E-2</v>
      </c>
      <c r="D69" s="112">
        <v>5.3800000000000001E-2</v>
      </c>
      <c r="E69" s="112">
        <v>5.2600000000000001E-2</v>
      </c>
      <c r="F69" s="112">
        <f t="shared" si="10"/>
        <v>5.4600000000000003E-2</v>
      </c>
      <c r="G69" s="112">
        <v>3.8699999999999998E-2</v>
      </c>
      <c r="H69" s="112">
        <v>3.7499999999999999E-2</v>
      </c>
      <c r="I69" s="112">
        <v>4.65E-2</v>
      </c>
      <c r="J69" s="112">
        <v>5.7599999999999998E-2</v>
      </c>
    </row>
    <row r="70" spans="2:10">
      <c r="B70" s="19" t="s">
        <v>1237</v>
      </c>
      <c r="C70" s="112">
        <v>5.7299999999999997E-2</v>
      </c>
      <c r="D70" s="112">
        <v>5.4100000000000002E-2</v>
      </c>
      <c r="E70" s="112">
        <v>5.2999999999999999E-2</v>
      </c>
      <c r="F70" s="112">
        <f t="shared" si="10"/>
        <v>5.4799999999999995E-2</v>
      </c>
      <c r="G70" s="112">
        <v>3.9600000000000003E-2</v>
      </c>
      <c r="H70" s="112">
        <v>3.9E-2</v>
      </c>
      <c r="I70" s="112">
        <v>4.6600000000000003E-2</v>
      </c>
      <c r="J70" s="112">
        <v>5.74E-2</v>
      </c>
    </row>
    <row r="71" spans="2:10">
      <c r="B71" s="19" t="s">
        <v>52</v>
      </c>
      <c r="C71" s="112">
        <v>6.0100000000000001E-2</v>
      </c>
      <c r="D71" s="112">
        <v>5.7200000000000001E-2</v>
      </c>
      <c r="E71" s="112">
        <v>5.5800000000000002E-2</v>
      </c>
      <c r="F71" s="112">
        <f t="shared" si="10"/>
        <v>5.7700000000000001E-2</v>
      </c>
      <c r="G71" s="112">
        <v>4.2799999999999998E-2</v>
      </c>
      <c r="H71" s="112">
        <v>4.1700000000000001E-2</v>
      </c>
      <c r="I71" s="112">
        <v>4.9599999999999998E-2</v>
      </c>
      <c r="J71" s="112">
        <v>6.0199999999999997E-2</v>
      </c>
    </row>
    <row r="72" spans="2:10">
      <c r="B72" s="19" t="s">
        <v>1238</v>
      </c>
      <c r="C72" s="112">
        <v>6.1499999999999999E-2</v>
      </c>
      <c r="D72" s="112">
        <v>5.8599999999999999E-2</v>
      </c>
      <c r="E72" s="112">
        <v>5.7200000000000001E-2</v>
      </c>
      <c r="F72" s="112">
        <f t="shared" si="10"/>
        <v>5.9100000000000007E-2</v>
      </c>
      <c r="G72" s="112">
        <v>4.4699999999999997E-2</v>
      </c>
      <c r="H72" s="112">
        <v>4.3799999999999999E-2</v>
      </c>
      <c r="I72" s="112">
        <v>5.1299999999999998E-2</v>
      </c>
      <c r="J72" s="112">
        <v>6.1600000000000002E-2</v>
      </c>
    </row>
    <row r="73" spans="2:10">
      <c r="B73" s="19" t="s">
        <v>1239</v>
      </c>
      <c r="C73" s="112">
        <v>6.6100000000000006E-2</v>
      </c>
      <c r="D73" s="112">
        <v>6.3399999999999998E-2</v>
      </c>
      <c r="E73" s="112">
        <v>6.1899999999999997E-2</v>
      </c>
      <c r="F73" s="112">
        <f t="shared" si="10"/>
        <v>6.3800000000000009E-2</v>
      </c>
      <c r="G73" s="112">
        <v>4.9500000000000002E-2</v>
      </c>
      <c r="H73" s="112">
        <v>4.8000000000000001E-2</v>
      </c>
      <c r="I73" s="112">
        <v>5.6099999999999997E-2</v>
      </c>
      <c r="J73" s="112">
        <v>6.6299999999999998E-2</v>
      </c>
    </row>
    <row r="74" spans="2:10">
      <c r="B74" s="19" t="s">
        <v>1240</v>
      </c>
      <c r="C74" s="112">
        <v>6.2899999999999998E-2</v>
      </c>
      <c r="D74" s="112">
        <v>6.0499999999999998E-2</v>
      </c>
      <c r="E74" s="112">
        <v>5.8999999999999997E-2</v>
      </c>
      <c r="F74" s="112">
        <f t="shared" si="10"/>
        <v>6.08E-2</v>
      </c>
      <c r="G74" s="112">
        <v>4.6600000000000003E-2</v>
      </c>
      <c r="H74" s="112">
        <v>4.4999999999999998E-2</v>
      </c>
      <c r="I74" s="112">
        <v>5.28E-2</v>
      </c>
      <c r="J74" s="112">
        <v>6.2899999999999998E-2</v>
      </c>
    </row>
    <row r="75" spans="2:10">
      <c r="B75" s="19" t="s">
        <v>1241</v>
      </c>
      <c r="C75" s="112">
        <v>5.6800000000000003E-2</v>
      </c>
      <c r="D75" s="112">
        <v>5.4300000000000001E-2</v>
      </c>
      <c r="E75" s="112">
        <v>5.28E-2</v>
      </c>
      <c r="F75" s="112">
        <f>AVERAGE(C75,D75,E75)</f>
        <v>5.4633333333333332E-2</v>
      </c>
      <c r="G75" s="112">
        <v>4.1399999999999999E-2</v>
      </c>
      <c r="H75" s="112">
        <v>4.02E-2</v>
      </c>
      <c r="I75" s="112">
        <v>4.7399999999999998E-2</v>
      </c>
      <c r="J75" s="112">
        <v>5.6500000000000002E-2</v>
      </c>
    </row>
    <row r="76" spans="2:10">
      <c r="B76" s="2" t="s">
        <v>1242</v>
      </c>
      <c r="C76" s="708">
        <f>AVERAGE(C64:C75)</f>
        <v>5.8416666666666665E-2</v>
      </c>
      <c r="D76" s="708">
        <f t="shared" ref="D76:J76" si="11">AVERAGE(D64:D75)</f>
        <v>5.5466666666666664E-2</v>
      </c>
      <c r="E76" s="708">
        <f t="shared" si="11"/>
        <v>5.4008333333333325E-2</v>
      </c>
      <c r="F76" s="708">
        <f t="shared" si="11"/>
        <v>5.5963888888888889E-2</v>
      </c>
      <c r="G76" s="708">
        <f t="shared" si="11"/>
        <v>4.0916666666666664E-2</v>
      </c>
      <c r="H76" s="708">
        <f t="shared" si="11"/>
        <v>3.9574999999999999E-2</v>
      </c>
      <c r="I76" s="708">
        <f t="shared" si="11"/>
        <v>4.8108333333333329E-2</v>
      </c>
      <c r="J76" s="708">
        <f t="shared" si="11"/>
        <v>5.8633333333333336E-2</v>
      </c>
    </row>
    <row r="78" spans="2:10">
      <c r="B78" s="19" t="s">
        <v>1544</v>
      </c>
      <c r="C78" s="112">
        <v>5.7299999999999997E-2</v>
      </c>
      <c r="D78" s="112">
        <v>5.4800000000000001E-2</v>
      </c>
      <c r="E78" s="112">
        <v>5.3400000000000003E-2</v>
      </c>
      <c r="F78" s="112">
        <f t="shared" ref="F78:F88" si="12">AVERAGE(C78,D78,E78)</f>
        <v>5.5166666666666669E-2</v>
      </c>
      <c r="G78" s="112">
        <v>4.2599999999999999E-2</v>
      </c>
      <c r="H78" s="112">
        <v>4.0599999999999997E-2</v>
      </c>
      <c r="I78" s="112">
        <v>4.87E-2</v>
      </c>
      <c r="J78" s="112">
        <v>5.6800000000000003E-2</v>
      </c>
    </row>
    <row r="79" spans="2:10">
      <c r="B79" s="19" t="s">
        <v>1229</v>
      </c>
      <c r="C79" s="112">
        <v>5.79E-2</v>
      </c>
      <c r="D79" s="112">
        <v>5.5599999999999997E-2</v>
      </c>
      <c r="E79" s="112">
        <v>5.4199999999999998E-2</v>
      </c>
      <c r="F79" s="112">
        <f t="shared" si="12"/>
        <v>5.5899999999999998E-2</v>
      </c>
      <c r="G79" s="112">
        <v>4.3799999999999999E-2</v>
      </c>
      <c r="H79" s="112">
        <v>4.2099999999999999E-2</v>
      </c>
      <c r="I79" s="112">
        <v>5.0299999999999997E-2</v>
      </c>
      <c r="J79" s="112">
        <v>5.7700000000000001E-2</v>
      </c>
    </row>
    <row r="80" spans="2:10">
      <c r="B80" s="19" t="s">
        <v>53</v>
      </c>
      <c r="C80" s="112">
        <v>5.79E-2</v>
      </c>
      <c r="D80" s="112">
        <v>5.5500000000000001E-2</v>
      </c>
      <c r="E80" s="112">
        <v>5.4300000000000001E-2</v>
      </c>
      <c r="F80" s="112">
        <f t="shared" si="12"/>
        <v>5.5900000000000005E-2</v>
      </c>
      <c r="G80" s="112">
        <v>4.36E-2</v>
      </c>
      <c r="H80" s="112">
        <v>4.2099999999999999E-2</v>
      </c>
      <c r="I80" s="112">
        <v>5.0099999999999999E-2</v>
      </c>
      <c r="J80" s="112">
        <v>5.7500000000000002E-2</v>
      </c>
    </row>
    <row r="81" spans="2:10">
      <c r="B81" s="19" t="s">
        <v>1234</v>
      </c>
      <c r="C81" s="112">
        <v>6.0100000000000001E-2</v>
      </c>
      <c r="D81" s="112">
        <v>5.79E-2</v>
      </c>
      <c r="E81" s="112">
        <v>5.67E-2</v>
      </c>
      <c r="F81" s="112">
        <f t="shared" si="12"/>
        <v>5.8233333333333331E-2</v>
      </c>
      <c r="G81" s="112">
        <v>4.6600000000000003E-2</v>
      </c>
      <c r="H81" s="112">
        <v>4.5400000000000003E-2</v>
      </c>
      <c r="I81" s="112">
        <v>5.28E-2</v>
      </c>
      <c r="J81" s="112">
        <v>0.06</v>
      </c>
    </row>
    <row r="82" spans="2:10">
      <c r="B82" s="19" t="s">
        <v>1235</v>
      </c>
      <c r="C82" s="112">
        <v>5.9700000000000003E-2</v>
      </c>
      <c r="D82" s="112">
        <v>5.74E-2</v>
      </c>
      <c r="E82" s="112">
        <v>5.62E-2</v>
      </c>
      <c r="F82" s="112">
        <f t="shared" si="12"/>
        <v>5.7766666666666668E-2</v>
      </c>
      <c r="G82" s="112">
        <v>4.6199999999999998E-2</v>
      </c>
      <c r="H82" s="112">
        <v>4.48E-2</v>
      </c>
      <c r="I82" s="112">
        <v>5.2499999999999998E-2</v>
      </c>
      <c r="J82" s="112">
        <v>5.9499999999999997E-2</v>
      </c>
    </row>
    <row r="83" spans="2:10">
      <c r="B83" s="19" t="s">
        <v>1236</v>
      </c>
      <c r="C83" s="112">
        <v>5.8299999999999998E-2</v>
      </c>
      <c r="D83" s="112">
        <v>5.6099999999999997E-2</v>
      </c>
      <c r="E83" s="112">
        <v>5.5E-2</v>
      </c>
      <c r="F83" s="112">
        <f t="shared" si="12"/>
        <v>5.6466666666666665E-2</v>
      </c>
      <c r="G83" s="112">
        <v>4.4400000000000002E-2</v>
      </c>
      <c r="H83" s="112">
        <v>4.3099999999999999E-2</v>
      </c>
      <c r="I83" s="112">
        <v>5.1200000000000002E-2</v>
      </c>
      <c r="J83" s="112">
        <v>5.8099999999999999E-2</v>
      </c>
    </row>
    <row r="84" spans="2:10">
      <c r="B84" s="19" t="s">
        <v>1237</v>
      </c>
      <c r="C84" s="112">
        <v>5.8599999999999999E-2</v>
      </c>
      <c r="D84" s="112">
        <v>5.6500000000000002E-2</v>
      </c>
      <c r="E84" s="112">
        <v>5.5399999999999998E-2</v>
      </c>
      <c r="F84" s="112">
        <f t="shared" si="12"/>
        <v>5.683333333333334E-2</v>
      </c>
      <c r="G84" s="112">
        <v>4.4600000000000001E-2</v>
      </c>
      <c r="H84" s="112">
        <v>4.2500000000000003E-2</v>
      </c>
      <c r="I84" s="112">
        <v>5.1200000000000002E-2</v>
      </c>
      <c r="J84" s="112">
        <v>5.8400000000000001E-2</v>
      </c>
    </row>
    <row r="85" spans="2:10">
      <c r="B85" s="19" t="s">
        <v>52</v>
      </c>
      <c r="C85" s="112">
        <v>5.6099999999999997E-2</v>
      </c>
      <c r="D85" s="112">
        <v>5.3800000000000001E-2</v>
      </c>
      <c r="E85" s="112">
        <v>5.2699999999999997E-2</v>
      </c>
      <c r="F85" s="112">
        <f t="shared" si="12"/>
        <v>5.4199999999999998E-2</v>
      </c>
      <c r="G85" s="112">
        <v>4.1500000000000002E-2</v>
      </c>
      <c r="H85" s="112">
        <v>3.8699999999999998E-2</v>
      </c>
      <c r="I85" s="112">
        <v>4.87E-2</v>
      </c>
      <c r="J85" s="112">
        <v>5.6000000000000001E-2</v>
      </c>
    </row>
    <row r="86" spans="2:10">
      <c r="B86" s="19" t="s">
        <v>1238</v>
      </c>
      <c r="C86" s="112">
        <v>5.4100000000000002E-2</v>
      </c>
      <c r="D86" s="112">
        <v>5.1999999999999998E-2</v>
      </c>
      <c r="E86" s="112">
        <v>5.0900000000000001E-2</v>
      </c>
      <c r="F86" s="112">
        <f t="shared" si="12"/>
        <v>5.2333333333333336E-2</v>
      </c>
      <c r="G86" s="112">
        <v>4.0399999999999998E-2</v>
      </c>
      <c r="H86" s="112">
        <v>3.7199999999999997E-2</v>
      </c>
      <c r="I86" s="112">
        <v>4.6800000000000001E-2</v>
      </c>
      <c r="J86" s="112">
        <v>5.4199999999999998E-2</v>
      </c>
    </row>
    <row r="87" spans="2:10">
      <c r="B87" s="19" t="s">
        <v>1239</v>
      </c>
      <c r="C87" s="112">
        <v>5.6099999999999997E-2</v>
      </c>
      <c r="D87" s="112">
        <v>5.4100000000000002E-2</v>
      </c>
      <c r="E87" s="112">
        <v>5.2900000000000003E-2</v>
      </c>
      <c r="F87" s="112">
        <f t="shared" si="12"/>
        <v>5.4366666666666667E-2</v>
      </c>
      <c r="G87" s="112">
        <v>4.3799999999999999E-2</v>
      </c>
      <c r="H87" s="112">
        <v>4.1000000000000002E-2</v>
      </c>
      <c r="I87" s="112">
        <v>4.9500000000000002E-2</v>
      </c>
      <c r="J87" s="112">
        <v>5.6300000000000003E-2</v>
      </c>
    </row>
    <row r="88" spans="2:10">
      <c r="B88" s="19" t="s">
        <v>1240</v>
      </c>
      <c r="C88" s="112">
        <v>5.7700000000000001E-2</v>
      </c>
      <c r="D88" s="112">
        <v>5.57E-2</v>
      </c>
      <c r="E88" s="112">
        <v>5.45E-2</v>
      </c>
      <c r="F88" s="112">
        <f t="shared" si="12"/>
        <v>5.5966666666666665E-2</v>
      </c>
      <c r="G88" s="112">
        <v>4.5400000000000003E-2</v>
      </c>
      <c r="H88" s="112">
        <v>4.36E-2</v>
      </c>
      <c r="I88" s="112">
        <v>5.1499999999999997E-2</v>
      </c>
      <c r="J88" s="112">
        <v>5.79E-2</v>
      </c>
    </row>
    <row r="89" spans="2:10">
      <c r="B89" s="19" t="s">
        <v>1545</v>
      </c>
      <c r="C89" s="112">
        <v>5.7700000000000001E-2</v>
      </c>
      <c r="D89" s="112">
        <v>5.5800000000000002E-2</v>
      </c>
      <c r="E89" s="112">
        <v>5.45E-2</v>
      </c>
      <c r="F89" s="112">
        <f>AVERAGE(C89,D89,E89)</f>
        <v>5.6000000000000001E-2</v>
      </c>
      <c r="G89" s="112">
        <v>4.58E-2</v>
      </c>
      <c r="H89" s="112">
        <v>4.3900000000000002E-2</v>
      </c>
      <c r="I89" s="112">
        <v>5.1999999999999998E-2</v>
      </c>
      <c r="J89" s="112">
        <v>5.8000000000000003E-2</v>
      </c>
    </row>
    <row r="90" spans="2:10">
      <c r="B90" s="2" t="s">
        <v>1242</v>
      </c>
      <c r="C90" s="708">
        <f>AVERAGE(C78:C89)</f>
        <v>5.7625000000000003E-2</v>
      </c>
      <c r="D90" s="708">
        <f t="shared" ref="D90:J90" si="13">AVERAGE(D78:D89)</f>
        <v>5.5433333333333328E-2</v>
      </c>
      <c r="E90" s="708">
        <f t="shared" si="13"/>
        <v>5.4224999999999995E-2</v>
      </c>
      <c r="F90" s="708">
        <f t="shared" si="13"/>
        <v>5.5761111111111115E-2</v>
      </c>
      <c r="G90" s="708">
        <f t="shared" si="13"/>
        <v>4.4058333333333331E-2</v>
      </c>
      <c r="H90" s="708">
        <f t="shared" si="13"/>
        <v>4.2083333333333334E-2</v>
      </c>
      <c r="I90" s="708">
        <f t="shared" si="13"/>
        <v>5.0441666666666683E-2</v>
      </c>
      <c r="J90" s="708">
        <f t="shared" si="13"/>
        <v>5.7533333333333332E-2</v>
      </c>
    </row>
    <row r="93" spans="2:10">
      <c r="D93" s="114">
        <f>C90-D90</f>
        <v>2.1916666666666751E-3</v>
      </c>
    </row>
  </sheetData>
  <mergeCells count="8">
    <mergeCell ref="C2:F2"/>
    <mergeCell ref="G3:G5"/>
    <mergeCell ref="H3:H5"/>
    <mergeCell ref="I3:I5"/>
    <mergeCell ref="J3:J5"/>
    <mergeCell ref="C4:F4"/>
    <mergeCell ref="C33:F33"/>
    <mergeCell ref="C34:F34"/>
  </mergeCells>
  <hyperlinks>
    <hyperlink ref="B18" r:id="rId1" display="http://www.fred.stlouisfed.org" xr:uid="{FE9549DA-389D-4E83-A27E-BEEDBF7C292B}"/>
  </hyperlinks>
  <printOptions horizontalCentered="1"/>
  <pageMargins left="0.5" right="0.5" top="0.75" bottom="0.25" header="0" footer="0"/>
  <pageSetup scale="53" orientation="portrait" horizontalDpi="300" verticalDpi="300"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8E3B1-A793-40B0-A79D-37342DA27982}">
  <dimension ref="B22:O31"/>
  <sheetViews>
    <sheetView zoomScaleNormal="100" workbookViewId="0">
      <selection activeCell="C1" sqref="C1"/>
    </sheetView>
  </sheetViews>
  <sheetFormatPr defaultColWidth="8.81640625" defaultRowHeight="15.5"/>
  <cols>
    <col min="1" max="1" width="4.81640625" style="16" customWidth="1"/>
    <col min="2" max="2" width="3.453125" style="729" customWidth="1"/>
    <col min="3" max="3" width="8.81640625" style="16"/>
    <col min="4" max="4" width="9.453125" style="16" customWidth="1"/>
    <col min="5" max="9" width="8.81640625" style="16"/>
    <col min="10" max="10" width="10.1796875" style="16" bestFit="1" customWidth="1"/>
    <col min="11" max="15" width="8.453125" style="16" customWidth="1"/>
    <col min="16" max="16384" width="8.81640625" style="16"/>
  </cols>
  <sheetData>
    <row r="22" spans="2:15" s="725" customFormat="1" ht="13">
      <c r="B22" s="728" t="str">
        <f>"Source: "&amp;'Bond Yields'!B29&amp;"."</f>
        <v>Source: Moody's Investors Service; https://fred.stlouisfed.org/; Wolters Kluwer, Blue Chip Financial Forecasts (Jun. 2, 2025).</v>
      </c>
    </row>
    <row r="27" spans="2:15">
      <c r="E27" s="730">
        <v>2021</v>
      </c>
      <c r="F27" s="730">
        <v>2022</v>
      </c>
      <c r="G27" s="730">
        <v>2023</v>
      </c>
      <c r="H27" s="730">
        <v>2024</v>
      </c>
      <c r="I27" s="730">
        <v>2025</v>
      </c>
      <c r="J27" s="730">
        <v>2026</v>
      </c>
      <c r="K27" s="730">
        <v>2027</v>
      </c>
      <c r="L27" s="730">
        <v>2028</v>
      </c>
      <c r="M27" s="730">
        <v>2029</v>
      </c>
      <c r="N27" s="730">
        <v>2030</v>
      </c>
      <c r="O27" s="730">
        <v>2031</v>
      </c>
    </row>
    <row r="28" spans="2:15">
      <c r="B28" s="729" t="s">
        <v>21</v>
      </c>
      <c r="C28" s="16" t="s">
        <v>48</v>
      </c>
      <c r="E28" s="731">
        <f>'Bond Yields'!C23</f>
        <v>1.4425E-2</v>
      </c>
      <c r="F28" s="731">
        <f>'Bond Yields'!D23</f>
        <v>2.9516666666666667E-2</v>
      </c>
      <c r="G28" s="731">
        <f>'Bond Yields'!E23</f>
        <v>3.9574999999999999E-2</v>
      </c>
      <c r="H28" s="731">
        <f>'Bond Yields'!F23</f>
        <v>4.2083333333333334E-2</v>
      </c>
      <c r="I28" s="731">
        <f>'Bond Yields'!G23</f>
        <v>4.3624999999999997E-2</v>
      </c>
      <c r="J28" s="731">
        <f>'Bond Yields'!H23</f>
        <v>0.04</v>
      </c>
      <c r="K28" s="731">
        <f>'Bond Yields'!I23</f>
        <v>4.1000000000000002E-2</v>
      </c>
      <c r="L28" s="731">
        <f>'Bond Yields'!J23</f>
        <v>0.04</v>
      </c>
      <c r="M28" s="731">
        <f>'Bond Yields'!K23</f>
        <v>0.04</v>
      </c>
      <c r="N28" s="731">
        <f>'Bond Yields'!L23</f>
        <v>0.04</v>
      </c>
      <c r="O28" s="731">
        <f>'Bond Yields'!M23</f>
        <v>0.04</v>
      </c>
    </row>
    <row r="29" spans="2:15">
      <c r="B29" s="729" t="s">
        <v>21</v>
      </c>
      <c r="C29" s="16" t="s">
        <v>49</v>
      </c>
      <c r="E29" s="731">
        <f>'Bond Yields'!C24</f>
        <v>2.0524999999999998E-2</v>
      </c>
      <c r="F29" s="731">
        <f>'Bond Yields'!D24</f>
        <v>3.1149999999999997E-2</v>
      </c>
      <c r="G29" s="731">
        <f>'Bond Yields'!E24</f>
        <v>4.0916666666666664E-2</v>
      </c>
      <c r="H29" s="731">
        <f>'Bond Yields'!F24</f>
        <v>4.4058333333333331E-2</v>
      </c>
      <c r="I29" s="731">
        <f>'Bond Yields'!G24</f>
        <v>4.7024999999999997E-2</v>
      </c>
      <c r="J29" s="731">
        <f>'Bond Yields'!H24</f>
        <v>4.4999999999999998E-2</v>
      </c>
      <c r="K29" s="731">
        <f>'Bond Yields'!I24</f>
        <v>4.3999999999999997E-2</v>
      </c>
      <c r="L29" s="731">
        <f>'Bond Yields'!J24</f>
        <v>4.3999999999999997E-2</v>
      </c>
      <c r="M29" s="731">
        <f>'Bond Yields'!K24</f>
        <v>4.2999999999999997E-2</v>
      </c>
      <c r="N29" s="731">
        <f>'Bond Yields'!L24</f>
        <v>4.2999999999999997E-2</v>
      </c>
      <c r="O29" s="731">
        <f>'Bond Yields'!M24</f>
        <v>4.2999999999999997E-2</v>
      </c>
    </row>
    <row r="30" spans="2:15">
      <c r="B30" s="729" t="s">
        <v>21</v>
      </c>
      <c r="C30" s="16" t="s">
        <v>50</v>
      </c>
      <c r="E30" s="731">
        <f>'Bond Yields'!C25</f>
        <v>2.7024999999999997E-2</v>
      </c>
      <c r="F30" s="731">
        <f>'Bond Yields'!D25</f>
        <v>4.0725000000000004E-2</v>
      </c>
      <c r="G30" s="731">
        <f>'Bond Yields'!E25</f>
        <v>4.8108333333333329E-2</v>
      </c>
      <c r="H30" s="731">
        <f>'Bond Yields'!F25</f>
        <v>5.0441666666666683E-2</v>
      </c>
      <c r="I30" s="731">
        <f>'Bond Yields'!G25</f>
        <v>5.3849999999999995E-2</v>
      </c>
      <c r="J30" s="731">
        <f>'Bond Yields'!H25</f>
        <v>5.1999999999999998E-2</v>
      </c>
      <c r="K30" s="731">
        <f>'Bond Yields'!I25</f>
        <v>5.1999999999999998E-2</v>
      </c>
      <c r="L30" s="731">
        <f>'Bond Yields'!J25</f>
        <v>5.1999999999999998E-2</v>
      </c>
      <c r="M30" s="731">
        <f>'Bond Yields'!K25</f>
        <v>5.0999999999999997E-2</v>
      </c>
      <c r="N30" s="731">
        <f>'Bond Yields'!L25</f>
        <v>5.0999999999999997E-2</v>
      </c>
      <c r="O30" s="731">
        <f>'Bond Yields'!M25</f>
        <v>5.0999999999999997E-2</v>
      </c>
    </row>
    <row r="31" spans="2:15">
      <c r="B31" s="729" t="s">
        <v>22</v>
      </c>
      <c r="C31" s="16" t="s">
        <v>51</v>
      </c>
      <c r="E31" s="731">
        <f>'Bond Yields'!C26</f>
        <v>3.3541666666666671E-2</v>
      </c>
      <c r="F31" s="731">
        <f>'Bond Yields'!D26</f>
        <v>5.028333333333334E-2</v>
      </c>
      <c r="G31" s="731">
        <f>'Bond Yields'!E26</f>
        <v>5.8416666666666665E-2</v>
      </c>
      <c r="H31" s="731">
        <f>'Bond Yields'!F26</f>
        <v>5.7625000000000003E-2</v>
      </c>
      <c r="I31" s="731">
        <f>'Bond Yields'!G26</f>
        <v>6.0149999999999995E-2</v>
      </c>
      <c r="J31" s="731">
        <f>'Bond Yields'!H26</f>
        <v>5.8299999999999998E-2</v>
      </c>
      <c r="K31" s="731">
        <f>'Bond Yields'!I26</f>
        <v>5.8299999999999998E-2</v>
      </c>
      <c r="L31" s="731">
        <f>'Bond Yields'!J26</f>
        <v>5.8299999999999998E-2</v>
      </c>
      <c r="M31" s="731">
        <f>'Bond Yields'!K26</f>
        <v>5.7299999999999997E-2</v>
      </c>
      <c r="N31" s="731">
        <f>'Bond Yields'!L26</f>
        <v>5.7299999999999997E-2</v>
      </c>
      <c r="O31" s="731">
        <f>'Bond Yields'!M26</f>
        <v>5.7299999999999997E-2</v>
      </c>
    </row>
  </sheetData>
  <pageMargins left="0.7" right="0.7" top="0.75" bottom="0.75" header="0.3" footer="0.3"/>
  <pageSetup orientation="portrait" r:id="rId1"/>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7">
    <pageSetUpPr fitToPage="1"/>
  </sheetPr>
  <dimension ref="A1:AJ56"/>
  <sheetViews>
    <sheetView zoomScaleNormal="100" workbookViewId="0">
      <pane xSplit="3" ySplit="7" topLeftCell="D8" activePane="bottomRight" state="frozen"/>
      <selection pane="topRight" activeCell="G1" sqref="G1:I1"/>
      <selection pane="bottomLeft" activeCell="G1" sqref="G1:I1"/>
      <selection pane="bottomRight"/>
    </sheetView>
  </sheetViews>
  <sheetFormatPr defaultColWidth="8.453125" defaultRowHeight="14"/>
  <cols>
    <col min="1" max="1" width="4.7265625" style="649" customWidth="1"/>
    <col min="2" max="2" width="9.453125" style="648" customWidth="1"/>
    <col min="3" max="3" width="23" style="648" customWidth="1"/>
    <col min="4" max="4" width="2.453125" style="648" customWidth="1"/>
    <col min="5" max="5" width="8.54296875" style="648" customWidth="1"/>
    <col min="6" max="6" width="9.81640625" style="648" customWidth="1"/>
    <col min="7" max="7" width="10.26953125" style="648" customWidth="1"/>
    <col min="8" max="8" width="8.81640625" style="648" customWidth="1"/>
    <col min="9" max="9" width="8.453125" style="648" customWidth="1"/>
    <col min="10" max="10" width="9.81640625" style="648" customWidth="1"/>
    <col min="11" max="12" width="10.453125" style="648" customWidth="1"/>
    <col min="13" max="16" width="7.54296875" style="648" customWidth="1"/>
    <col min="17" max="17" width="11.453125" style="648" customWidth="1"/>
    <col min="18" max="18" width="12.54296875" style="648" customWidth="1"/>
    <col min="19" max="22" width="7.54296875" style="648" customWidth="1"/>
    <col min="23" max="28" width="8.453125" style="648" customWidth="1"/>
    <col min="29" max="29" width="10.453125" style="648" customWidth="1"/>
    <col min="30" max="30" width="8.453125" style="685" customWidth="1"/>
    <col min="31" max="32" width="9.453125" style="672" bestFit="1" customWidth="1"/>
    <col min="33" max="35" width="10.453125" style="672" bestFit="1" customWidth="1"/>
    <col min="36" max="36" width="10.453125" style="648" customWidth="1"/>
    <col min="37" max="16384" width="8.453125" style="648"/>
  </cols>
  <sheetData>
    <row r="1" spans="1:36">
      <c r="A1" s="647" t="s">
        <v>1250</v>
      </c>
      <c r="B1" s="647"/>
      <c r="AD1" s="69"/>
      <c r="AE1" s="648"/>
      <c r="AF1" s="648"/>
      <c r="AG1" s="648"/>
      <c r="AH1" s="648"/>
      <c r="AI1" s="648"/>
    </row>
    <row r="2" spans="1:36">
      <c r="B2" s="650"/>
      <c r="C2" s="651"/>
      <c r="D2" s="651"/>
      <c r="E2" s="652"/>
      <c r="X2" s="653"/>
      <c r="AD2" s="69"/>
      <c r="AE2" s="648"/>
      <c r="AF2" s="648"/>
      <c r="AG2" s="648"/>
      <c r="AH2" s="648"/>
      <c r="AI2" s="648"/>
    </row>
    <row r="3" spans="1:36">
      <c r="A3" s="654"/>
      <c r="B3" s="651"/>
      <c r="C3" s="651"/>
      <c r="D3" s="651"/>
      <c r="E3" s="651"/>
      <c r="AD3" s="69"/>
      <c r="AE3" s="648"/>
      <c r="AF3" s="648"/>
      <c r="AG3" s="648"/>
      <c r="AH3" s="648"/>
      <c r="AI3" s="648"/>
    </row>
    <row r="4" spans="1:36">
      <c r="B4" s="655">
        <f t="shared" ref="B4:AJ4" si="0">A4+1</f>
        <v>1</v>
      </c>
      <c r="C4" s="655">
        <f t="shared" si="0"/>
        <v>2</v>
      </c>
      <c r="D4" s="655">
        <f t="shared" si="0"/>
        <v>3</v>
      </c>
      <c r="E4" s="655">
        <f t="shared" si="0"/>
        <v>4</v>
      </c>
      <c r="F4" s="655">
        <f t="shared" si="0"/>
        <v>5</v>
      </c>
      <c r="G4" s="655">
        <f t="shared" si="0"/>
        <v>6</v>
      </c>
      <c r="H4" s="655">
        <f t="shared" si="0"/>
        <v>7</v>
      </c>
      <c r="I4" s="655">
        <f t="shared" si="0"/>
        <v>8</v>
      </c>
      <c r="J4" s="655">
        <f t="shared" si="0"/>
        <v>9</v>
      </c>
      <c r="K4" s="655">
        <f t="shared" si="0"/>
        <v>10</v>
      </c>
      <c r="L4" s="655">
        <f t="shared" si="0"/>
        <v>11</v>
      </c>
      <c r="M4" s="655">
        <f t="shared" si="0"/>
        <v>12</v>
      </c>
      <c r="N4" s="655">
        <f t="shared" si="0"/>
        <v>13</v>
      </c>
      <c r="O4" s="655">
        <f t="shared" si="0"/>
        <v>14</v>
      </c>
      <c r="P4" s="655">
        <f t="shared" si="0"/>
        <v>15</v>
      </c>
      <c r="Q4" s="655">
        <f t="shared" si="0"/>
        <v>16</v>
      </c>
      <c r="R4" s="655">
        <f t="shared" si="0"/>
        <v>17</v>
      </c>
      <c r="S4" s="655">
        <f t="shared" si="0"/>
        <v>18</v>
      </c>
      <c r="T4" s="655">
        <f t="shared" si="0"/>
        <v>19</v>
      </c>
      <c r="U4" s="655">
        <f t="shared" si="0"/>
        <v>20</v>
      </c>
      <c r="V4" s="655">
        <f t="shared" si="0"/>
        <v>21</v>
      </c>
      <c r="W4" s="655">
        <f t="shared" si="0"/>
        <v>22</v>
      </c>
      <c r="X4" s="655">
        <f t="shared" si="0"/>
        <v>23</v>
      </c>
      <c r="Y4" s="655">
        <f>X4+1</f>
        <v>24</v>
      </c>
      <c r="Z4" s="655">
        <f t="shared" si="0"/>
        <v>25</v>
      </c>
      <c r="AA4" s="655">
        <f t="shared" si="0"/>
        <v>26</v>
      </c>
      <c r="AB4" s="655">
        <f t="shared" si="0"/>
        <v>27</v>
      </c>
      <c r="AC4" s="655">
        <v>28</v>
      </c>
      <c r="AD4" s="655">
        <f t="shared" si="0"/>
        <v>29</v>
      </c>
      <c r="AE4" s="655">
        <f t="shared" si="0"/>
        <v>30</v>
      </c>
      <c r="AF4" s="655">
        <f t="shared" si="0"/>
        <v>31</v>
      </c>
      <c r="AG4" s="655">
        <f t="shared" si="0"/>
        <v>32</v>
      </c>
      <c r="AH4" s="655">
        <f t="shared" si="0"/>
        <v>33</v>
      </c>
      <c r="AI4" s="655">
        <f t="shared" si="0"/>
        <v>34</v>
      </c>
      <c r="AJ4" s="655">
        <f t="shared" si="0"/>
        <v>35</v>
      </c>
    </row>
    <row r="5" spans="1:36" ht="21" customHeight="1">
      <c r="A5" s="656" t="s">
        <v>71</v>
      </c>
      <c r="B5" s="648" t="s">
        <v>71</v>
      </c>
      <c r="D5" s="69"/>
      <c r="E5" s="69" t="s">
        <v>21</v>
      </c>
      <c r="F5" s="69" t="s">
        <v>22</v>
      </c>
      <c r="G5" s="69" t="s">
        <v>22</v>
      </c>
      <c r="H5" s="69" t="s">
        <v>22</v>
      </c>
      <c r="I5" s="69" t="s">
        <v>22</v>
      </c>
      <c r="J5" s="69" t="s">
        <v>22</v>
      </c>
      <c r="K5" s="69" t="s">
        <v>22</v>
      </c>
      <c r="L5" s="69" t="s">
        <v>22</v>
      </c>
      <c r="M5" s="69" t="s">
        <v>22</v>
      </c>
      <c r="N5" s="69" t="s">
        <v>22</v>
      </c>
      <c r="O5" s="69" t="s">
        <v>22</v>
      </c>
      <c r="P5" s="69" t="s">
        <v>22</v>
      </c>
      <c r="Q5" s="69" t="s">
        <v>22</v>
      </c>
      <c r="R5" s="69" t="s">
        <v>22</v>
      </c>
      <c r="S5" s="69" t="s">
        <v>22</v>
      </c>
      <c r="T5" s="69" t="s">
        <v>22</v>
      </c>
      <c r="U5" s="69" t="s">
        <v>22</v>
      </c>
      <c r="V5" s="69" t="s">
        <v>22</v>
      </c>
      <c r="W5" s="69" t="s">
        <v>22</v>
      </c>
      <c r="X5" s="69" t="s">
        <v>21</v>
      </c>
      <c r="Y5" s="69" t="s">
        <v>22</v>
      </c>
      <c r="Z5" s="69" t="s">
        <v>22</v>
      </c>
      <c r="AA5" s="69" t="s">
        <v>23</v>
      </c>
      <c r="AB5" s="69" t="s">
        <v>24</v>
      </c>
      <c r="AC5" s="69" t="s">
        <v>22</v>
      </c>
      <c r="AD5" s="69" t="s">
        <v>22</v>
      </c>
      <c r="AE5" s="69" t="s">
        <v>25</v>
      </c>
      <c r="AF5" s="69" t="s">
        <v>26</v>
      </c>
      <c r="AG5" s="69" t="s">
        <v>27</v>
      </c>
      <c r="AH5" s="69" t="s">
        <v>28</v>
      </c>
      <c r="AI5" s="69" t="s">
        <v>29</v>
      </c>
      <c r="AJ5" s="657" t="s">
        <v>30</v>
      </c>
    </row>
    <row r="6" spans="1:36" s="658" customFormat="1">
      <c r="D6" s="655"/>
      <c r="E6" s="659" t="s">
        <v>1251</v>
      </c>
      <c r="F6" s="1475" t="s">
        <v>1252</v>
      </c>
      <c r="G6" s="1475"/>
      <c r="H6" s="1475">
        <v>2029</v>
      </c>
      <c r="I6" s="1475"/>
      <c r="J6" s="1475"/>
      <c r="K6" s="1475" t="s">
        <v>262</v>
      </c>
      <c r="L6" s="1475"/>
      <c r="M6" s="1475" t="s">
        <v>1253</v>
      </c>
      <c r="N6" s="1475"/>
      <c r="O6" s="1475" t="s">
        <v>1254</v>
      </c>
      <c r="P6" s="1475"/>
      <c r="Q6" s="1475" t="s">
        <v>1255</v>
      </c>
      <c r="R6" s="1475"/>
      <c r="S6" s="660" t="s">
        <v>313</v>
      </c>
      <c r="T6" s="1475" t="s">
        <v>1256</v>
      </c>
      <c r="U6" s="1475"/>
      <c r="V6" s="1475"/>
      <c r="W6" s="659" t="s">
        <v>61</v>
      </c>
      <c r="X6" s="660"/>
      <c r="Y6" s="659" t="s">
        <v>62</v>
      </c>
      <c r="Z6" s="659" t="s">
        <v>311</v>
      </c>
      <c r="AA6" s="659" t="s">
        <v>64</v>
      </c>
      <c r="AB6" s="659" t="s">
        <v>63</v>
      </c>
      <c r="AC6" s="659" t="s">
        <v>74</v>
      </c>
      <c r="AD6" s="659" t="s">
        <v>0</v>
      </c>
      <c r="AE6" s="659" t="s">
        <v>1366</v>
      </c>
      <c r="AF6" s="659" t="s">
        <v>1366</v>
      </c>
      <c r="AG6" s="655"/>
      <c r="AH6" s="655"/>
      <c r="AI6" s="655"/>
      <c r="AJ6" s="661"/>
    </row>
    <row r="7" spans="1:36" s="658" customFormat="1">
      <c r="B7" s="662" t="s">
        <v>77</v>
      </c>
      <c r="C7" s="662" t="s">
        <v>78</v>
      </c>
      <c r="E7" s="660" t="s">
        <v>1257</v>
      </c>
      <c r="F7" s="660" t="s">
        <v>279</v>
      </c>
      <c r="G7" s="660" t="s">
        <v>280</v>
      </c>
      <c r="H7" s="660" t="s">
        <v>264</v>
      </c>
      <c r="I7" s="660" t="s">
        <v>265</v>
      </c>
      <c r="J7" s="660" t="s">
        <v>266</v>
      </c>
      <c r="K7" s="660">
        <v>2024</v>
      </c>
      <c r="L7" s="660">
        <v>2029</v>
      </c>
      <c r="M7" s="660">
        <v>2024</v>
      </c>
      <c r="N7" s="660">
        <v>2029</v>
      </c>
      <c r="O7" s="660">
        <v>2024</v>
      </c>
      <c r="P7" s="660">
        <v>2029</v>
      </c>
      <c r="Q7" s="660">
        <v>2024</v>
      </c>
      <c r="R7" s="660">
        <v>2029</v>
      </c>
      <c r="S7" s="660">
        <v>2029</v>
      </c>
      <c r="T7" s="660" t="s">
        <v>264</v>
      </c>
      <c r="U7" s="660" t="s">
        <v>265</v>
      </c>
      <c r="V7" s="660" t="s">
        <v>266</v>
      </c>
      <c r="W7" s="660" t="s">
        <v>65</v>
      </c>
      <c r="X7" s="660" t="s">
        <v>67</v>
      </c>
      <c r="Y7" s="660" t="s">
        <v>66</v>
      </c>
      <c r="Z7" s="660" t="s">
        <v>313</v>
      </c>
      <c r="AA7" s="660" t="s">
        <v>79</v>
      </c>
      <c r="AB7" s="660" t="s">
        <v>79</v>
      </c>
      <c r="AC7" s="660" t="s">
        <v>81</v>
      </c>
      <c r="AD7" s="660" t="s">
        <v>82</v>
      </c>
      <c r="AE7" s="663" t="s">
        <v>96</v>
      </c>
      <c r="AF7" s="663" t="s">
        <v>97</v>
      </c>
      <c r="AG7" s="664" t="s">
        <v>1258</v>
      </c>
      <c r="AH7" s="664" t="s">
        <v>1258</v>
      </c>
      <c r="AI7" s="664" t="s">
        <v>1258</v>
      </c>
      <c r="AJ7" s="664" t="s">
        <v>1258</v>
      </c>
    </row>
    <row r="8" spans="1:36" s="673" customFormat="1" ht="15.5">
      <c r="A8" s="665">
        <v>1</v>
      </c>
      <c r="B8" s="649" t="s">
        <v>1260</v>
      </c>
      <c r="C8" s="649" t="s">
        <v>2</v>
      </c>
      <c r="D8" s="666"/>
      <c r="E8" s="667">
        <v>2.94</v>
      </c>
      <c r="F8" s="170">
        <v>105</v>
      </c>
      <c r="G8" s="170">
        <v>85</v>
      </c>
      <c r="H8" s="170">
        <v>5.5</v>
      </c>
      <c r="I8" s="170">
        <v>3.26</v>
      </c>
      <c r="J8" s="170">
        <v>54</v>
      </c>
      <c r="K8" s="131">
        <v>57.82</v>
      </c>
      <c r="L8" s="131">
        <v>61</v>
      </c>
      <c r="M8" s="171">
        <v>0.39600000000000002</v>
      </c>
      <c r="N8" s="171">
        <v>0.40500000000000003</v>
      </c>
      <c r="O8" s="171">
        <v>0.57799999999999996</v>
      </c>
      <c r="P8" s="171">
        <v>0.59499999999999997</v>
      </c>
      <c r="Q8" s="668">
        <v>4923.3999999999996</v>
      </c>
      <c r="R8" s="668">
        <v>5550</v>
      </c>
      <c r="S8" s="171">
        <v>0.09</v>
      </c>
      <c r="T8" s="171">
        <v>0.06</v>
      </c>
      <c r="U8" s="171">
        <v>3.5000000000000003E-2</v>
      </c>
      <c r="V8" s="171">
        <v>3.5000000000000003E-2</v>
      </c>
      <c r="W8" s="180">
        <v>1</v>
      </c>
      <c r="X8" s="669">
        <v>0.8</v>
      </c>
      <c r="Y8" s="670" t="s">
        <v>498</v>
      </c>
      <c r="Z8" s="377">
        <v>9.2499999999999999E-2</v>
      </c>
      <c r="AA8" s="12" t="s">
        <v>502</v>
      </c>
      <c r="AB8" s="12" t="s">
        <v>90</v>
      </c>
      <c r="AC8" s="169">
        <v>3700</v>
      </c>
      <c r="AD8" s="12" t="s">
        <v>85</v>
      </c>
      <c r="AE8" s="671" t="s">
        <v>36</v>
      </c>
      <c r="AF8" s="671" t="s">
        <v>36</v>
      </c>
      <c r="AG8" s="672"/>
      <c r="AH8" s="132"/>
      <c r="AI8" s="133"/>
      <c r="AJ8" s="98"/>
    </row>
    <row r="9" spans="1:36" ht="15.5">
      <c r="A9" s="665">
        <f t="shared" ref="A9:A43" si="1">A8+1</f>
        <v>2</v>
      </c>
      <c r="B9" s="649" t="s">
        <v>909</v>
      </c>
      <c r="C9" s="649" t="s">
        <v>3</v>
      </c>
      <c r="D9" s="674"/>
      <c r="E9" s="667">
        <v>2.0299999999999998</v>
      </c>
      <c r="F9" s="170">
        <v>80</v>
      </c>
      <c r="G9" s="170">
        <v>65</v>
      </c>
      <c r="H9" s="170">
        <v>4.25</v>
      </c>
      <c r="I9" s="170">
        <v>2.4300000000000002</v>
      </c>
      <c r="J9" s="170">
        <v>31.9</v>
      </c>
      <c r="K9" s="131">
        <v>256.69</v>
      </c>
      <c r="L9" s="131">
        <v>257</v>
      </c>
      <c r="M9" s="171">
        <v>0.55300000000000005</v>
      </c>
      <c r="N9" s="171">
        <v>0.52</v>
      </c>
      <c r="O9" s="171">
        <v>0.44700000000000001</v>
      </c>
      <c r="P9" s="171">
        <v>0.48</v>
      </c>
      <c r="Q9" s="668">
        <v>15681</v>
      </c>
      <c r="R9" s="668">
        <v>17070</v>
      </c>
      <c r="S9" s="171">
        <v>0.12</v>
      </c>
      <c r="T9" s="171">
        <v>0.06</v>
      </c>
      <c r="U9" s="171">
        <v>0.06</v>
      </c>
      <c r="V9" s="171">
        <v>0.04</v>
      </c>
      <c r="W9" s="180">
        <v>1</v>
      </c>
      <c r="X9" s="669">
        <v>0.8</v>
      </c>
      <c r="Y9" s="670" t="s">
        <v>498</v>
      </c>
      <c r="Z9" s="377">
        <v>0.1</v>
      </c>
      <c r="AA9" s="12" t="s">
        <v>91</v>
      </c>
      <c r="AB9" s="12" t="s">
        <v>505</v>
      </c>
      <c r="AC9" s="169">
        <v>16300</v>
      </c>
      <c r="AD9" s="12" t="s">
        <v>85</v>
      </c>
      <c r="AE9" s="671">
        <v>6.5000000000000002E-2</v>
      </c>
      <c r="AF9" s="671">
        <v>6.7299999999999999E-2</v>
      </c>
      <c r="AH9" s="132"/>
      <c r="AI9" s="133"/>
      <c r="AJ9" s="99"/>
    </row>
    <row r="10" spans="1:36" ht="15.5">
      <c r="A10" s="665">
        <f t="shared" si="1"/>
        <v>3</v>
      </c>
      <c r="B10" s="649" t="s">
        <v>549</v>
      </c>
      <c r="C10" s="649" t="s">
        <v>4</v>
      </c>
      <c r="D10" s="674"/>
      <c r="E10" s="667">
        <v>2.85</v>
      </c>
      <c r="F10" s="170">
        <v>145</v>
      </c>
      <c r="G10" s="170">
        <v>115</v>
      </c>
      <c r="H10" s="170">
        <v>6.5</v>
      </c>
      <c r="I10" s="170">
        <v>3.57</v>
      </c>
      <c r="J10" s="170">
        <v>52.65</v>
      </c>
      <c r="K10" s="131">
        <v>266.93</v>
      </c>
      <c r="L10" s="131">
        <v>285</v>
      </c>
      <c r="M10" s="171">
        <v>0.53900000000000003</v>
      </c>
      <c r="N10" s="171">
        <v>0.51</v>
      </c>
      <c r="O10" s="171">
        <v>0.45300000000000001</v>
      </c>
      <c r="P10" s="171">
        <v>0.48499999999999999</v>
      </c>
      <c r="Q10" s="668">
        <v>25432</v>
      </c>
      <c r="R10" s="668">
        <v>29500</v>
      </c>
      <c r="S10" s="171">
        <v>0.1</v>
      </c>
      <c r="T10" s="171">
        <v>6.5000000000000002E-2</v>
      </c>
      <c r="U10" s="171">
        <v>6.5000000000000002E-2</v>
      </c>
      <c r="V10" s="171">
        <v>6.5000000000000002E-2</v>
      </c>
      <c r="W10" s="180">
        <v>1</v>
      </c>
      <c r="X10" s="669">
        <v>0.8</v>
      </c>
      <c r="Y10" s="670" t="s">
        <v>498</v>
      </c>
      <c r="Z10" s="377" t="s">
        <v>36</v>
      </c>
      <c r="AA10" s="12" t="s">
        <v>91</v>
      </c>
      <c r="AB10" s="12" t="s">
        <v>90</v>
      </c>
      <c r="AC10" s="169">
        <v>22000</v>
      </c>
      <c r="AD10" s="12" t="s">
        <v>85</v>
      </c>
      <c r="AE10" s="671">
        <v>6.8000000000000005E-2</v>
      </c>
      <c r="AF10" s="671">
        <v>6.9500000000000006E-2</v>
      </c>
      <c r="AH10" s="132"/>
      <c r="AI10" s="133"/>
      <c r="AJ10" s="99"/>
    </row>
    <row r="11" spans="1:36" ht="15.5">
      <c r="A11" s="665">
        <f t="shared" si="1"/>
        <v>4</v>
      </c>
      <c r="B11" s="649" t="s">
        <v>551</v>
      </c>
      <c r="C11" s="649" t="s">
        <v>5</v>
      </c>
      <c r="D11" s="674"/>
      <c r="E11" s="667">
        <v>3.8</v>
      </c>
      <c r="F11" s="170">
        <v>150</v>
      </c>
      <c r="G11" s="170">
        <v>120</v>
      </c>
      <c r="H11" s="170">
        <v>7.5</v>
      </c>
      <c r="I11" s="170">
        <v>4.3099999999999996</v>
      </c>
      <c r="J11" s="170">
        <v>60.9</v>
      </c>
      <c r="K11" s="131">
        <v>532.9</v>
      </c>
      <c r="L11" s="131">
        <v>550</v>
      </c>
      <c r="M11" s="171">
        <v>0.58099999999999996</v>
      </c>
      <c r="N11" s="171">
        <v>0.57499999999999996</v>
      </c>
      <c r="O11" s="171">
        <v>0.42399999999999999</v>
      </c>
      <c r="P11" s="171">
        <v>0.42499999999999999</v>
      </c>
      <c r="Q11" s="668">
        <v>67528</v>
      </c>
      <c r="R11" s="668">
        <v>75900</v>
      </c>
      <c r="S11" s="171">
        <v>0.11</v>
      </c>
      <c r="T11" s="171">
        <v>6.5000000000000002E-2</v>
      </c>
      <c r="U11" s="171">
        <v>5.5E-2</v>
      </c>
      <c r="V11" s="171">
        <v>0.06</v>
      </c>
      <c r="W11" s="180">
        <v>1</v>
      </c>
      <c r="X11" s="669">
        <v>0.7</v>
      </c>
      <c r="Y11" s="670" t="s">
        <v>499</v>
      </c>
      <c r="Z11" s="377" t="s">
        <v>36</v>
      </c>
      <c r="AA11" s="12" t="s">
        <v>91</v>
      </c>
      <c r="AB11" s="12" t="s">
        <v>505</v>
      </c>
      <c r="AC11" s="169">
        <v>52700</v>
      </c>
      <c r="AD11" s="12" t="s">
        <v>87</v>
      </c>
      <c r="AE11" s="671">
        <v>6.4000000000000001E-2</v>
      </c>
      <c r="AF11" s="671">
        <v>6.4299999999999996E-2</v>
      </c>
      <c r="AH11" s="132"/>
      <c r="AI11" s="133"/>
      <c r="AJ11" s="99"/>
    </row>
    <row r="12" spans="1:36" ht="15.5">
      <c r="A12" s="665">
        <f t="shared" si="1"/>
        <v>5</v>
      </c>
      <c r="B12" s="649" t="s">
        <v>1262</v>
      </c>
      <c r="C12" s="649" t="s">
        <v>31</v>
      </c>
      <c r="D12" s="674"/>
      <c r="E12" s="667">
        <v>1.96</v>
      </c>
      <c r="F12" s="170">
        <v>65</v>
      </c>
      <c r="G12" s="170">
        <v>40</v>
      </c>
      <c r="H12" s="170">
        <v>2.95</v>
      </c>
      <c r="I12" s="170">
        <v>2.2000000000000002</v>
      </c>
      <c r="J12" s="170">
        <v>35.75</v>
      </c>
      <c r="K12" s="131">
        <v>80.040000000000006</v>
      </c>
      <c r="L12" s="131">
        <v>85</v>
      </c>
      <c r="M12" s="171">
        <v>0.51</v>
      </c>
      <c r="N12" s="171">
        <v>0.46500000000000002</v>
      </c>
      <c r="O12" s="171">
        <v>0.49</v>
      </c>
      <c r="P12" s="171">
        <v>0.53500000000000003</v>
      </c>
      <c r="Q12" s="668">
        <v>5292</v>
      </c>
      <c r="R12" s="668">
        <v>5700</v>
      </c>
      <c r="S12" s="171">
        <v>0.08</v>
      </c>
      <c r="T12" s="171">
        <v>5.5E-2</v>
      </c>
      <c r="U12" s="171">
        <v>0.04</v>
      </c>
      <c r="V12" s="171">
        <v>0.02</v>
      </c>
      <c r="W12" s="180">
        <v>3</v>
      </c>
      <c r="X12" s="669">
        <v>0.75</v>
      </c>
      <c r="Y12" s="670" t="s">
        <v>499</v>
      </c>
      <c r="Z12" s="377">
        <f>AVERAGE(0.094,0.094,0.094)</f>
        <v>9.4000000000000014E-2</v>
      </c>
      <c r="AA12" s="12" t="s">
        <v>502</v>
      </c>
      <c r="AB12" s="12" t="s">
        <v>505</v>
      </c>
      <c r="AC12" s="169">
        <v>3100</v>
      </c>
      <c r="AD12" s="12" t="s">
        <v>85</v>
      </c>
      <c r="AE12" s="671">
        <v>6.9000000000000006E-2</v>
      </c>
      <c r="AF12" s="671">
        <v>6.0699999999999997E-2</v>
      </c>
      <c r="AH12" s="132"/>
      <c r="AI12" s="133"/>
      <c r="AJ12" s="99"/>
    </row>
    <row r="13" spans="1:36" ht="15.5">
      <c r="A13" s="665">
        <f t="shared" si="1"/>
        <v>6</v>
      </c>
      <c r="B13" s="649" t="s">
        <v>1264</v>
      </c>
      <c r="C13" s="649" t="s">
        <v>32</v>
      </c>
      <c r="D13" s="674"/>
      <c r="E13" s="667">
        <v>2.7</v>
      </c>
      <c r="F13" s="170">
        <v>90</v>
      </c>
      <c r="G13" s="170">
        <v>65</v>
      </c>
      <c r="H13" s="170">
        <v>5</v>
      </c>
      <c r="I13" s="170">
        <v>3.1</v>
      </c>
      <c r="J13" s="170">
        <v>56</v>
      </c>
      <c r="K13" s="131">
        <v>69.84</v>
      </c>
      <c r="L13" s="131">
        <v>77</v>
      </c>
      <c r="M13" s="171">
        <v>0.56499999999999995</v>
      </c>
      <c r="N13" s="171">
        <v>0.55500000000000005</v>
      </c>
      <c r="O13" s="171">
        <v>0.435</v>
      </c>
      <c r="P13" s="171">
        <v>0.44500000000000001</v>
      </c>
      <c r="Q13" s="668">
        <v>7751.7</v>
      </c>
      <c r="R13" s="668">
        <v>9900</v>
      </c>
      <c r="S13" s="171">
        <v>8.5000000000000006E-2</v>
      </c>
      <c r="T13" s="171">
        <v>3.5000000000000003E-2</v>
      </c>
      <c r="U13" s="171">
        <v>3.5000000000000003E-2</v>
      </c>
      <c r="V13" s="171">
        <v>0.03</v>
      </c>
      <c r="W13" s="180">
        <v>2</v>
      </c>
      <c r="X13" s="669">
        <v>0.9</v>
      </c>
      <c r="Y13" s="670" t="s">
        <v>499</v>
      </c>
      <c r="Z13" s="377">
        <v>9.3700000000000006E-2</v>
      </c>
      <c r="AA13" s="12" t="s">
        <v>91</v>
      </c>
      <c r="AB13" s="12" t="s">
        <v>505</v>
      </c>
      <c r="AC13" s="169">
        <v>4100</v>
      </c>
      <c r="AD13" s="12" t="s">
        <v>85</v>
      </c>
      <c r="AE13" s="671">
        <v>5.2999999999999999E-2</v>
      </c>
      <c r="AF13" s="671">
        <v>5.2600000000000001E-2</v>
      </c>
      <c r="AH13" s="132"/>
      <c r="AI13" s="133"/>
      <c r="AJ13" s="99"/>
    </row>
    <row r="14" spans="1:36" ht="15.5">
      <c r="A14" s="665">
        <f t="shared" si="1"/>
        <v>7</v>
      </c>
      <c r="B14" s="649" t="s">
        <v>664</v>
      </c>
      <c r="C14" s="649" t="s">
        <v>33</v>
      </c>
      <c r="D14" s="674"/>
      <c r="E14" s="667">
        <v>0.88</v>
      </c>
      <c r="F14" s="170">
        <v>45</v>
      </c>
      <c r="G14" s="170">
        <v>30</v>
      </c>
      <c r="H14" s="170">
        <v>2</v>
      </c>
      <c r="I14" s="170">
        <v>1.01</v>
      </c>
      <c r="J14" s="170">
        <v>21.5</v>
      </c>
      <c r="K14" s="131">
        <v>651.73</v>
      </c>
      <c r="L14" s="131">
        <v>653</v>
      </c>
      <c r="M14" s="171">
        <v>0.65500000000000003</v>
      </c>
      <c r="N14" s="171">
        <v>0.59</v>
      </c>
      <c r="O14" s="171">
        <v>0.34499999999999997</v>
      </c>
      <c r="P14" s="171">
        <v>0.41</v>
      </c>
      <c r="Q14" s="668">
        <v>31063</v>
      </c>
      <c r="R14" s="668">
        <v>34000</v>
      </c>
      <c r="S14" s="171">
        <v>0.105</v>
      </c>
      <c r="T14" s="171">
        <v>6.5000000000000002E-2</v>
      </c>
      <c r="U14" s="171">
        <v>0.06</v>
      </c>
      <c r="V14" s="171">
        <v>5.5E-2</v>
      </c>
      <c r="W14" s="180">
        <v>3</v>
      </c>
      <c r="X14" s="669">
        <v>0.85</v>
      </c>
      <c r="Y14" s="670" t="s">
        <v>499</v>
      </c>
      <c r="Z14" s="377">
        <v>9.4E-2</v>
      </c>
      <c r="AA14" s="12" t="s">
        <v>91</v>
      </c>
      <c r="AB14" s="12" t="s">
        <v>505</v>
      </c>
      <c r="AC14" s="169">
        <v>21200</v>
      </c>
      <c r="AD14" s="12" t="s">
        <v>85</v>
      </c>
      <c r="AE14" s="671">
        <v>0.08</v>
      </c>
      <c r="AF14" s="671">
        <v>7.7600000000000002E-2</v>
      </c>
      <c r="AH14" s="132"/>
      <c r="AI14" s="133"/>
      <c r="AJ14" s="99"/>
    </row>
    <row r="15" spans="1:36" ht="15.5">
      <c r="A15" s="665">
        <f t="shared" si="1"/>
        <v>8</v>
      </c>
      <c r="B15" s="649" t="s">
        <v>662</v>
      </c>
      <c r="C15" s="649" t="s">
        <v>6</v>
      </c>
      <c r="D15" s="674"/>
      <c r="E15" s="667">
        <v>2.17</v>
      </c>
      <c r="F15" s="170">
        <v>95</v>
      </c>
      <c r="G15" s="170">
        <v>70</v>
      </c>
      <c r="H15" s="170">
        <v>4.2</v>
      </c>
      <c r="I15" s="170">
        <v>2.5</v>
      </c>
      <c r="J15" s="170">
        <v>30.75</v>
      </c>
      <c r="K15" s="131">
        <v>298.8</v>
      </c>
      <c r="L15" s="131">
        <v>302</v>
      </c>
      <c r="M15" s="171">
        <v>0.65</v>
      </c>
      <c r="N15" s="171">
        <v>0.61499999999999999</v>
      </c>
      <c r="O15" s="171">
        <v>0.34</v>
      </c>
      <c r="P15" s="171">
        <v>0.375</v>
      </c>
      <c r="Q15" s="668">
        <v>23536</v>
      </c>
      <c r="R15" s="668">
        <v>24700</v>
      </c>
      <c r="S15" s="171">
        <v>0.13500000000000001</v>
      </c>
      <c r="T15" s="171">
        <v>0.06</v>
      </c>
      <c r="U15" s="171">
        <v>0.05</v>
      </c>
      <c r="V15" s="171">
        <v>0.05</v>
      </c>
      <c r="W15" s="180">
        <v>2</v>
      </c>
      <c r="X15" s="669">
        <v>0.7</v>
      </c>
      <c r="Y15" s="670" t="s">
        <v>1261</v>
      </c>
      <c r="Z15" s="377">
        <v>9.9000000000000005E-2</v>
      </c>
      <c r="AA15" s="12" t="s">
        <v>91</v>
      </c>
      <c r="AB15" s="12" t="s">
        <v>505</v>
      </c>
      <c r="AC15" s="169">
        <v>20800</v>
      </c>
      <c r="AD15" s="12" t="s">
        <v>85</v>
      </c>
      <c r="AE15" s="671">
        <v>7.6999999999999999E-2</v>
      </c>
      <c r="AF15" s="671">
        <v>7.8399999999999997E-2</v>
      </c>
      <c r="AH15" s="132"/>
      <c r="AI15" s="133"/>
      <c r="AJ15" s="99"/>
    </row>
    <row r="16" spans="1:36" ht="15.5">
      <c r="A16" s="665">
        <f t="shared" si="1"/>
        <v>9</v>
      </c>
      <c r="B16" s="649" t="s">
        <v>728</v>
      </c>
      <c r="C16" s="649" t="s">
        <v>7</v>
      </c>
      <c r="D16" s="674"/>
      <c r="E16" s="667">
        <v>3.45</v>
      </c>
      <c r="F16" s="170">
        <v>125</v>
      </c>
      <c r="G16" s="170">
        <v>105</v>
      </c>
      <c r="H16" s="170">
        <v>7</v>
      </c>
      <c r="I16" s="170">
        <v>4.24</v>
      </c>
      <c r="J16" s="170">
        <v>77.75</v>
      </c>
      <c r="K16" s="131">
        <v>346.6</v>
      </c>
      <c r="L16" s="131">
        <v>355</v>
      </c>
      <c r="M16" s="171">
        <v>0.52900000000000003</v>
      </c>
      <c r="N16" s="171">
        <v>0.54</v>
      </c>
      <c r="O16" s="171">
        <v>0.47099999999999997</v>
      </c>
      <c r="P16" s="171">
        <v>0.46</v>
      </c>
      <c r="Q16" s="668">
        <v>46613</v>
      </c>
      <c r="R16" s="668">
        <v>60000</v>
      </c>
      <c r="S16" s="171">
        <v>0.09</v>
      </c>
      <c r="T16" s="171">
        <v>0.06</v>
      </c>
      <c r="U16" s="171">
        <v>4.4999999999999998E-2</v>
      </c>
      <c r="V16" s="171">
        <v>0.04</v>
      </c>
      <c r="W16" s="180">
        <v>1</v>
      </c>
      <c r="X16" s="669">
        <v>0.65</v>
      </c>
      <c r="Y16" s="670" t="s">
        <v>498</v>
      </c>
      <c r="Z16" s="377">
        <f>AVERAGE(9.25%,9.2%)</f>
        <v>9.2249999999999999E-2</v>
      </c>
      <c r="AA16" s="12" t="s">
        <v>508</v>
      </c>
      <c r="AB16" s="12" t="s">
        <v>90</v>
      </c>
      <c r="AC16" s="169">
        <v>36300</v>
      </c>
      <c r="AD16" s="12" t="s">
        <v>85</v>
      </c>
      <c r="AE16" s="671">
        <v>0.05</v>
      </c>
      <c r="AF16" s="671">
        <v>5.57E-2</v>
      </c>
      <c r="AH16" s="132"/>
      <c r="AI16" s="133"/>
      <c r="AJ16" s="99"/>
    </row>
    <row r="17" spans="1:36" ht="15.5">
      <c r="A17" s="665">
        <f t="shared" si="1"/>
        <v>10</v>
      </c>
      <c r="B17" s="649" t="s">
        <v>138</v>
      </c>
      <c r="C17" s="649" t="s">
        <v>34</v>
      </c>
      <c r="D17" s="674"/>
      <c r="E17" s="667">
        <v>2.67</v>
      </c>
      <c r="F17" s="170">
        <v>80</v>
      </c>
      <c r="G17" s="170">
        <v>60</v>
      </c>
      <c r="H17" s="170">
        <v>4.25</v>
      </c>
      <c r="I17" s="170">
        <v>2.67</v>
      </c>
      <c r="J17" s="170">
        <v>37.25</v>
      </c>
      <c r="K17" s="131">
        <v>852</v>
      </c>
      <c r="L17" s="131">
        <v>880</v>
      </c>
      <c r="M17" s="171">
        <v>0.57899999999999996</v>
      </c>
      <c r="N17" s="171">
        <v>0.6</v>
      </c>
      <c r="O17" s="171">
        <v>0.40500000000000003</v>
      </c>
      <c r="P17" s="171">
        <v>0.39</v>
      </c>
      <c r="Q17" s="668">
        <v>64778</v>
      </c>
      <c r="R17" s="668">
        <v>84600</v>
      </c>
      <c r="S17" s="171">
        <v>0.115</v>
      </c>
      <c r="T17" s="171">
        <v>0.06</v>
      </c>
      <c r="U17" s="171">
        <v>0</v>
      </c>
      <c r="V17" s="171">
        <v>0.03</v>
      </c>
      <c r="W17" s="180">
        <v>2</v>
      </c>
      <c r="X17" s="669">
        <v>0.75</v>
      </c>
      <c r="Y17" s="670" t="s">
        <v>499</v>
      </c>
      <c r="Z17" s="377">
        <f>AVERAGE(9.35%,9.5%)</f>
        <v>9.425E-2</v>
      </c>
      <c r="AA17" s="12" t="s">
        <v>91</v>
      </c>
      <c r="AB17" s="12" t="s">
        <v>505</v>
      </c>
      <c r="AC17" s="169">
        <v>50400</v>
      </c>
      <c r="AD17" s="12" t="s">
        <v>85</v>
      </c>
      <c r="AE17" s="671">
        <v>0.154</v>
      </c>
      <c r="AF17" s="671">
        <v>0.13589999999999999</v>
      </c>
      <c r="AH17" s="132"/>
      <c r="AI17" s="133"/>
      <c r="AJ17" s="99"/>
    </row>
    <row r="18" spans="1:36" ht="15.5">
      <c r="A18" s="665">
        <f t="shared" si="1"/>
        <v>11</v>
      </c>
      <c r="B18" s="649" t="s">
        <v>716</v>
      </c>
      <c r="C18" s="649" t="s">
        <v>8</v>
      </c>
      <c r="D18" s="674"/>
      <c r="E18" s="667">
        <v>4.3600000000000003</v>
      </c>
      <c r="F18" s="170">
        <v>200</v>
      </c>
      <c r="G18" s="170">
        <v>145</v>
      </c>
      <c r="H18" s="170">
        <v>9.6</v>
      </c>
      <c r="I18" s="170">
        <v>5.15</v>
      </c>
      <c r="J18" s="170">
        <v>63.1</v>
      </c>
      <c r="K18" s="131">
        <v>207.17</v>
      </c>
      <c r="L18" s="131">
        <v>206</v>
      </c>
      <c r="M18" s="171">
        <v>0.61399999999999999</v>
      </c>
      <c r="N18" s="171">
        <v>0.61</v>
      </c>
      <c r="O18" s="171">
        <v>0.38200000000000001</v>
      </c>
      <c r="P18" s="171">
        <v>0.39</v>
      </c>
      <c r="Q18" s="668">
        <v>29328</v>
      </c>
      <c r="R18" s="668">
        <v>32200</v>
      </c>
      <c r="S18" s="171">
        <v>0.125</v>
      </c>
      <c r="T18" s="171">
        <v>4.4999999999999998E-2</v>
      </c>
      <c r="U18" s="171">
        <v>0.03</v>
      </c>
      <c r="V18" s="171">
        <v>0.01</v>
      </c>
      <c r="W18" s="180">
        <v>2</v>
      </c>
      <c r="X18" s="669">
        <v>0.85</v>
      </c>
      <c r="Y18" s="670" t="s">
        <v>1261</v>
      </c>
      <c r="Z18" s="377">
        <v>9.9000000000000005E-2</v>
      </c>
      <c r="AA18" s="12" t="s">
        <v>91</v>
      </c>
      <c r="AB18" s="12" t="s">
        <v>505</v>
      </c>
      <c r="AC18" s="169">
        <v>25800</v>
      </c>
      <c r="AD18" s="12" t="s">
        <v>85</v>
      </c>
      <c r="AE18" s="671">
        <v>7.9000000000000001E-2</v>
      </c>
      <c r="AF18" s="671">
        <v>7.6399999999999996E-2</v>
      </c>
      <c r="AH18" s="132"/>
      <c r="AI18" s="133"/>
      <c r="AJ18" s="99"/>
    </row>
    <row r="19" spans="1:36" ht="15.5">
      <c r="A19" s="665">
        <f t="shared" si="1"/>
        <v>12</v>
      </c>
      <c r="B19" s="649" t="s">
        <v>718</v>
      </c>
      <c r="C19" s="649" t="s">
        <v>9</v>
      </c>
      <c r="D19" s="674"/>
      <c r="E19" s="667">
        <v>4.24</v>
      </c>
      <c r="F19" s="170">
        <v>155</v>
      </c>
      <c r="G19" s="170">
        <v>115</v>
      </c>
      <c r="H19" s="170">
        <v>8</v>
      </c>
      <c r="I19" s="170">
        <v>5</v>
      </c>
      <c r="J19" s="170">
        <v>76.5</v>
      </c>
      <c r="K19" s="131">
        <v>776</v>
      </c>
      <c r="L19" s="131">
        <v>780</v>
      </c>
      <c r="M19" s="171">
        <v>0.60399999999999998</v>
      </c>
      <c r="N19" s="171">
        <v>0.61</v>
      </c>
      <c r="O19" s="171">
        <v>0.38900000000000001</v>
      </c>
      <c r="P19" s="171">
        <v>0.38</v>
      </c>
      <c r="Q19" s="668">
        <v>126467</v>
      </c>
      <c r="R19" s="668">
        <v>156100</v>
      </c>
      <c r="S19" s="171">
        <v>0.105</v>
      </c>
      <c r="T19" s="171">
        <v>0.06</v>
      </c>
      <c r="U19" s="171">
        <v>3.5000000000000003E-2</v>
      </c>
      <c r="V19" s="171">
        <v>3.5000000000000003E-2</v>
      </c>
      <c r="W19" s="180">
        <v>2</v>
      </c>
      <c r="X19" s="669">
        <v>0.65</v>
      </c>
      <c r="Y19" s="670" t="s">
        <v>499</v>
      </c>
      <c r="Z19" s="377">
        <f>AVERAGE(9.94%,10.3%,9.7%,9.94%)</f>
        <v>9.9699999999999997E-2</v>
      </c>
      <c r="AA19" s="12" t="s">
        <v>91</v>
      </c>
      <c r="AB19" s="12" t="s">
        <v>505</v>
      </c>
      <c r="AC19" s="169">
        <v>90400</v>
      </c>
      <c r="AD19" s="12" t="s">
        <v>85</v>
      </c>
      <c r="AE19" s="671">
        <v>6.6000000000000003E-2</v>
      </c>
      <c r="AF19" s="671">
        <v>6.3299999999999995E-2</v>
      </c>
      <c r="AH19" s="132"/>
      <c r="AI19" s="133"/>
      <c r="AJ19" s="99"/>
    </row>
    <row r="20" spans="1:36" ht="15.5">
      <c r="A20" s="665">
        <f t="shared" si="1"/>
        <v>13</v>
      </c>
      <c r="B20" s="649" t="s">
        <v>733</v>
      </c>
      <c r="C20" s="649" t="s">
        <v>35</v>
      </c>
      <c r="D20" s="674"/>
      <c r="E20" s="667">
        <v>3.41</v>
      </c>
      <c r="F20" s="170">
        <v>120</v>
      </c>
      <c r="G20" s="170">
        <v>80</v>
      </c>
      <c r="H20" s="170">
        <v>7</v>
      </c>
      <c r="I20" s="170">
        <v>4.25</v>
      </c>
      <c r="J20" s="170">
        <v>50</v>
      </c>
      <c r="K20" s="131">
        <v>384.78</v>
      </c>
      <c r="L20" s="131">
        <v>395</v>
      </c>
      <c r="M20" s="171">
        <v>0.65400000000000003</v>
      </c>
      <c r="N20" s="171">
        <v>0.65</v>
      </c>
      <c r="O20" s="171">
        <v>0.27100000000000002</v>
      </c>
      <c r="P20" s="171">
        <v>0.28999999999999998</v>
      </c>
      <c r="Q20" s="668">
        <v>51274</v>
      </c>
      <c r="R20" s="668">
        <v>69000</v>
      </c>
      <c r="S20" s="171">
        <v>0.14000000000000001</v>
      </c>
      <c r="T20" s="168">
        <v>6.5000000000000002E-2</v>
      </c>
      <c r="U20" s="171">
        <v>0.06</v>
      </c>
      <c r="V20" s="171">
        <v>0.06</v>
      </c>
      <c r="W20" s="180">
        <v>3</v>
      </c>
      <c r="X20" s="669">
        <v>0.9</v>
      </c>
      <c r="Y20" s="670" t="s">
        <v>1263</v>
      </c>
      <c r="Z20" s="377">
        <v>0.10299999999999999</v>
      </c>
      <c r="AA20" s="12" t="s">
        <v>502</v>
      </c>
      <c r="AB20" s="12" t="s">
        <v>505</v>
      </c>
      <c r="AC20" s="169">
        <v>20600</v>
      </c>
      <c r="AD20" s="12" t="s">
        <v>87</v>
      </c>
      <c r="AE20" s="671">
        <v>0.1</v>
      </c>
      <c r="AF20" s="671">
        <v>7.0099999999999996E-2</v>
      </c>
      <c r="AH20" s="132"/>
      <c r="AI20" s="133"/>
      <c r="AJ20" s="99"/>
    </row>
    <row r="21" spans="1:36" ht="15.5">
      <c r="A21" s="665">
        <f t="shared" si="1"/>
        <v>14</v>
      </c>
      <c r="B21" s="649" t="s">
        <v>756</v>
      </c>
      <c r="C21" s="649" t="s">
        <v>10</v>
      </c>
      <c r="D21" s="674"/>
      <c r="E21" s="667">
        <v>2.4</v>
      </c>
      <c r="F21" s="170">
        <v>85</v>
      </c>
      <c r="G21" s="170">
        <v>70</v>
      </c>
      <c r="H21" s="170">
        <v>4.2</v>
      </c>
      <c r="I21" s="170">
        <v>3</v>
      </c>
      <c r="J21" s="170">
        <v>43.45</v>
      </c>
      <c r="K21" s="131">
        <v>429.58</v>
      </c>
      <c r="L21" s="131">
        <v>460</v>
      </c>
      <c r="M21" s="171">
        <v>0.63500000000000001</v>
      </c>
      <c r="N21" s="171">
        <v>0.63500000000000001</v>
      </c>
      <c r="O21" s="171">
        <v>0.36</v>
      </c>
      <c r="P21" s="171">
        <v>0.36499999999999999</v>
      </c>
      <c r="Q21" s="668">
        <v>41917</v>
      </c>
      <c r="R21" s="668">
        <v>55915</v>
      </c>
      <c r="S21" s="171">
        <v>9.5000000000000001E-2</v>
      </c>
      <c r="T21" s="171">
        <v>0.03</v>
      </c>
      <c r="U21" s="171">
        <v>5.5E-2</v>
      </c>
      <c r="V21" s="171">
        <v>4.4999999999999998E-2</v>
      </c>
      <c r="W21" s="180">
        <v>1</v>
      </c>
      <c r="X21" s="669">
        <v>0.8</v>
      </c>
      <c r="Y21" s="670" t="s">
        <v>498</v>
      </c>
      <c r="Z21" s="377">
        <v>9.7900000000000001E-2</v>
      </c>
      <c r="AA21" s="12" t="s">
        <v>91</v>
      </c>
      <c r="AB21" s="12" t="s">
        <v>505</v>
      </c>
      <c r="AC21" s="169">
        <v>32700</v>
      </c>
      <c r="AD21" s="12" t="s">
        <v>85</v>
      </c>
      <c r="AE21" s="671">
        <v>9.6000000000000002E-2</v>
      </c>
      <c r="AF21" s="671">
        <v>9.4600000000000004E-2</v>
      </c>
      <c r="AH21" s="132"/>
      <c r="AI21" s="133"/>
      <c r="AJ21" s="99"/>
    </row>
    <row r="22" spans="1:36" ht="15.5">
      <c r="A22" s="665">
        <f t="shared" si="1"/>
        <v>15</v>
      </c>
      <c r="B22" s="649" t="s">
        <v>758</v>
      </c>
      <c r="C22" s="649" t="s">
        <v>11</v>
      </c>
      <c r="D22" s="674"/>
      <c r="E22" s="667">
        <v>2.71</v>
      </c>
      <c r="F22" s="170">
        <v>100</v>
      </c>
      <c r="G22" s="170">
        <v>75</v>
      </c>
      <c r="H22" s="170">
        <v>5</v>
      </c>
      <c r="I22" s="170">
        <v>3.25</v>
      </c>
      <c r="J22" s="170">
        <v>47.5</v>
      </c>
      <c r="K22" s="131">
        <v>229.73</v>
      </c>
      <c r="L22" s="131">
        <v>230</v>
      </c>
      <c r="M22" s="171">
        <v>0.51500000000000001</v>
      </c>
      <c r="N22" s="171">
        <v>0.53500000000000003</v>
      </c>
      <c r="O22" s="171">
        <v>0.48</v>
      </c>
      <c r="P22" s="171">
        <v>0.46500000000000002</v>
      </c>
      <c r="Q22" s="668">
        <v>20019</v>
      </c>
      <c r="R22" s="668">
        <v>23400</v>
      </c>
      <c r="S22" s="171">
        <v>0.1</v>
      </c>
      <c r="T22" s="168">
        <v>7.4999999999999997E-2</v>
      </c>
      <c r="U22" s="168">
        <v>7.0000000000000007E-2</v>
      </c>
      <c r="V22" s="168">
        <v>3.5000000000000003E-2</v>
      </c>
      <c r="W22" s="180">
        <v>2</v>
      </c>
      <c r="X22" s="669">
        <v>0.75</v>
      </c>
      <c r="Y22" s="670" t="s">
        <v>1261</v>
      </c>
      <c r="Z22" s="377">
        <v>9.2999999999999999E-2</v>
      </c>
      <c r="AA22" s="12" t="s">
        <v>91</v>
      </c>
      <c r="AB22" s="12" t="s">
        <v>505</v>
      </c>
      <c r="AC22" s="169">
        <v>13600</v>
      </c>
      <c r="AD22" s="12" t="s">
        <v>87</v>
      </c>
      <c r="AE22" s="671">
        <v>0.06</v>
      </c>
      <c r="AF22" s="671">
        <v>5.7000000000000002E-2</v>
      </c>
      <c r="AH22" s="132"/>
      <c r="AI22" s="133"/>
      <c r="AJ22" s="99"/>
    </row>
    <row r="23" spans="1:36" ht="15.5">
      <c r="A23" s="665">
        <f t="shared" si="1"/>
        <v>16</v>
      </c>
      <c r="B23" s="649" t="s">
        <v>750</v>
      </c>
      <c r="C23" s="649" t="s">
        <v>12</v>
      </c>
      <c r="D23" s="674"/>
      <c r="E23" s="667">
        <v>3.05</v>
      </c>
      <c r="F23" s="170">
        <v>110</v>
      </c>
      <c r="G23" s="170">
        <v>80</v>
      </c>
      <c r="H23" s="170">
        <v>5.9</v>
      </c>
      <c r="I23" s="170">
        <v>3.7</v>
      </c>
      <c r="J23" s="170">
        <v>52</v>
      </c>
      <c r="K23" s="131">
        <v>366.61</v>
      </c>
      <c r="L23" s="131">
        <v>380</v>
      </c>
      <c r="M23" s="171">
        <v>0.63100000000000001</v>
      </c>
      <c r="N23" s="171">
        <v>0.62</v>
      </c>
      <c r="O23" s="171">
        <v>0.36499999999999999</v>
      </c>
      <c r="P23" s="171">
        <v>0.375</v>
      </c>
      <c r="Q23" s="668">
        <v>41221</v>
      </c>
      <c r="R23" s="668">
        <v>52400</v>
      </c>
      <c r="S23" s="171">
        <v>0.115</v>
      </c>
      <c r="T23" s="171">
        <v>5.5E-2</v>
      </c>
      <c r="U23" s="171">
        <v>5.5E-2</v>
      </c>
      <c r="V23" s="171">
        <v>3.5000000000000003E-2</v>
      </c>
      <c r="W23" s="180">
        <v>2</v>
      </c>
      <c r="X23" s="669">
        <v>0.85</v>
      </c>
      <c r="Y23" s="670" t="s">
        <v>499</v>
      </c>
      <c r="Z23" s="377">
        <f>AVERAGE(9.8%,9.25%,9.3%)</f>
        <v>9.4500000000000015E-2</v>
      </c>
      <c r="AA23" s="12" t="s">
        <v>91</v>
      </c>
      <c r="AB23" s="12" t="s">
        <v>505</v>
      </c>
      <c r="AC23" s="169">
        <v>23800</v>
      </c>
      <c r="AD23" s="12" t="s">
        <v>85</v>
      </c>
      <c r="AE23" s="671">
        <v>5.2999999999999999E-2</v>
      </c>
      <c r="AF23" s="671">
        <v>5.6599999999999998E-2</v>
      </c>
      <c r="AH23" s="132"/>
      <c r="AI23" s="133"/>
      <c r="AJ23" s="99"/>
    </row>
    <row r="24" spans="1:36" ht="15.5">
      <c r="A24" s="665">
        <f t="shared" si="1"/>
        <v>17</v>
      </c>
      <c r="B24" s="649" t="s">
        <v>760</v>
      </c>
      <c r="C24" s="649" t="s">
        <v>13</v>
      </c>
      <c r="D24" s="674"/>
      <c r="E24" s="667">
        <v>1.62</v>
      </c>
      <c r="F24" s="170">
        <v>70</v>
      </c>
      <c r="G24" s="170">
        <v>50</v>
      </c>
      <c r="H24" s="170">
        <v>3.4</v>
      </c>
      <c r="I24" s="170">
        <v>1.95</v>
      </c>
      <c r="J24" s="170">
        <v>29.75</v>
      </c>
      <c r="K24" s="131">
        <v>1005</v>
      </c>
      <c r="L24" s="131">
        <v>1005</v>
      </c>
      <c r="M24" s="171">
        <v>0.61099999999999999</v>
      </c>
      <c r="N24" s="171">
        <v>0.64500000000000002</v>
      </c>
      <c r="O24" s="171">
        <v>0.39529999999999998</v>
      </c>
      <c r="P24" s="171">
        <v>0.35499999999999998</v>
      </c>
      <c r="Q24" s="668">
        <v>65918</v>
      </c>
      <c r="R24" s="668">
        <v>81000</v>
      </c>
      <c r="S24" s="171">
        <v>0.1</v>
      </c>
      <c r="T24" s="168" t="s">
        <v>36</v>
      </c>
      <c r="U24" s="168" t="s">
        <v>36</v>
      </c>
      <c r="V24" s="168" t="s">
        <v>36</v>
      </c>
      <c r="W24" s="180">
        <v>3</v>
      </c>
      <c r="X24" s="669" t="s">
        <v>36</v>
      </c>
      <c r="Y24" s="670" t="s">
        <v>499</v>
      </c>
      <c r="Z24" s="377">
        <f>AVERAGE(9.25%,9.75%)</f>
        <v>9.5000000000000001E-2</v>
      </c>
      <c r="AA24" s="12" t="s">
        <v>508</v>
      </c>
      <c r="AB24" s="12" t="s">
        <v>505</v>
      </c>
      <c r="AC24" s="169">
        <v>40300</v>
      </c>
      <c r="AD24" s="12" t="s">
        <v>85</v>
      </c>
      <c r="AE24" s="671">
        <v>6.2E-2</v>
      </c>
      <c r="AF24" s="671">
        <v>6.4199999999999993E-2</v>
      </c>
      <c r="AH24" s="132"/>
      <c r="AI24" s="133"/>
      <c r="AJ24" s="99"/>
    </row>
    <row r="25" spans="1:36" ht="15.5">
      <c r="A25" s="665">
        <f t="shared" si="1"/>
        <v>18</v>
      </c>
      <c r="B25" s="649" t="s">
        <v>776</v>
      </c>
      <c r="C25" s="649" t="s">
        <v>37</v>
      </c>
      <c r="D25" s="674"/>
      <c r="E25" s="675">
        <v>1.8</v>
      </c>
      <c r="F25" s="170">
        <v>65</v>
      </c>
      <c r="G25" s="170">
        <v>45</v>
      </c>
      <c r="H25" s="170">
        <v>3.3</v>
      </c>
      <c r="I25" s="170">
        <v>2.1</v>
      </c>
      <c r="J25" s="170">
        <v>26.75</v>
      </c>
      <c r="K25" s="131">
        <v>576.61</v>
      </c>
      <c r="L25" s="131">
        <v>595</v>
      </c>
      <c r="M25" s="171">
        <v>0.64400000000000002</v>
      </c>
      <c r="N25" s="171">
        <v>0.65</v>
      </c>
      <c r="O25" s="171">
        <v>0.35599999999999998</v>
      </c>
      <c r="P25" s="171">
        <v>0.35</v>
      </c>
      <c r="Q25" s="668">
        <v>34951</v>
      </c>
      <c r="R25" s="668">
        <v>45300</v>
      </c>
      <c r="S25" s="171">
        <v>0.125</v>
      </c>
      <c r="T25" s="171">
        <v>4.4999999999999998E-2</v>
      </c>
      <c r="U25" s="171">
        <v>4.4999999999999998E-2</v>
      </c>
      <c r="V25" s="171">
        <v>5.5E-2</v>
      </c>
      <c r="W25" s="180">
        <v>3</v>
      </c>
      <c r="X25" s="669">
        <v>0.75</v>
      </c>
      <c r="Y25" s="670" t="s">
        <v>1261</v>
      </c>
      <c r="Z25" s="377">
        <f>AVERAGE(9.5%,11.3%)</f>
        <v>0.10400000000000001</v>
      </c>
      <c r="AA25" s="12" t="s">
        <v>502</v>
      </c>
      <c r="AB25" s="12" t="s">
        <v>507</v>
      </c>
      <c r="AC25" s="169">
        <v>25200</v>
      </c>
      <c r="AD25" s="12" t="s">
        <v>87</v>
      </c>
      <c r="AE25" s="671">
        <v>5.8999999999999997E-2</v>
      </c>
      <c r="AF25" s="671">
        <v>6.4299999999999996E-2</v>
      </c>
      <c r="AH25" s="132"/>
      <c r="AI25" s="133"/>
      <c r="AJ25" s="99"/>
    </row>
    <row r="26" spans="1:36" ht="15.5">
      <c r="A26" s="665">
        <f t="shared" si="1"/>
        <v>19</v>
      </c>
      <c r="B26" s="649" t="s">
        <v>1265</v>
      </c>
      <c r="C26" s="649" t="s">
        <v>38</v>
      </c>
      <c r="D26" s="674"/>
      <c r="E26" s="675">
        <v>2.4900000000000002</v>
      </c>
      <c r="F26" s="170">
        <v>95</v>
      </c>
      <c r="G26" s="170">
        <v>80</v>
      </c>
      <c r="H26" s="170">
        <v>4.0999999999999996</v>
      </c>
      <c r="I26" s="170">
        <v>2.98</v>
      </c>
      <c r="J26" s="170">
        <v>47.05</v>
      </c>
      <c r="K26" s="131">
        <v>496.2</v>
      </c>
      <c r="L26" s="131">
        <v>510</v>
      </c>
      <c r="M26" s="171">
        <v>0.53700000000000003</v>
      </c>
      <c r="N26" s="171">
        <v>0.51500000000000001</v>
      </c>
      <c r="O26" s="171">
        <v>0.432</v>
      </c>
      <c r="P26" s="171">
        <v>0.45</v>
      </c>
      <c r="Q26" s="668">
        <v>48029</v>
      </c>
      <c r="R26" s="668">
        <v>51900</v>
      </c>
      <c r="S26" s="171">
        <v>7.4999999999999997E-2</v>
      </c>
      <c r="T26" s="171">
        <v>0.05</v>
      </c>
      <c r="U26" s="171">
        <v>0.06</v>
      </c>
      <c r="V26" s="171">
        <v>0.04</v>
      </c>
      <c r="W26" s="180">
        <v>1</v>
      </c>
      <c r="X26" s="669">
        <v>0.55000000000000004</v>
      </c>
      <c r="Y26" s="670" t="s">
        <v>498</v>
      </c>
      <c r="Z26" s="377">
        <f>AVERAGE(8.3%,10.32%)</f>
        <v>9.3100000000000002E-2</v>
      </c>
      <c r="AA26" s="12" t="s">
        <v>508</v>
      </c>
      <c r="AB26" s="12" t="s">
        <v>507</v>
      </c>
      <c r="AC26" s="169">
        <v>29400</v>
      </c>
      <c r="AD26" s="12" t="s">
        <v>85</v>
      </c>
      <c r="AE26" s="671">
        <v>0.04</v>
      </c>
      <c r="AF26" s="671">
        <v>5.0099999999999999E-2</v>
      </c>
      <c r="AH26" s="132"/>
      <c r="AI26" s="133"/>
      <c r="AJ26" s="99"/>
    </row>
    <row r="27" spans="1:36" ht="15.5">
      <c r="A27" s="665">
        <f t="shared" si="1"/>
        <v>20</v>
      </c>
      <c r="B27" s="649" t="s">
        <v>1266</v>
      </c>
      <c r="C27" s="649" t="s">
        <v>39</v>
      </c>
      <c r="D27" s="674"/>
      <c r="E27" s="675">
        <v>0</v>
      </c>
      <c r="F27" s="170">
        <v>20</v>
      </c>
      <c r="G27" s="170">
        <v>11</v>
      </c>
      <c r="H27" s="170">
        <v>1.3</v>
      </c>
      <c r="I27" s="676">
        <v>0.7</v>
      </c>
      <c r="J27" s="170">
        <v>13.55</v>
      </c>
      <c r="K27" s="131">
        <v>172.47</v>
      </c>
      <c r="L27" s="131">
        <v>175</v>
      </c>
      <c r="M27" s="171">
        <v>0.67300000000000004</v>
      </c>
      <c r="N27" s="171">
        <v>0.63500000000000001</v>
      </c>
      <c r="O27" s="171">
        <v>0.31900000000000001</v>
      </c>
      <c r="P27" s="171">
        <v>0.36</v>
      </c>
      <c r="Q27" s="668">
        <v>4630.3999999999996</v>
      </c>
      <c r="R27" s="668">
        <v>6600</v>
      </c>
      <c r="S27" s="171">
        <v>9.5000000000000001E-2</v>
      </c>
      <c r="T27" s="168" t="s">
        <v>36</v>
      </c>
      <c r="U27" s="168" t="s">
        <v>36</v>
      </c>
      <c r="V27" s="168" t="s">
        <v>36</v>
      </c>
      <c r="W27" s="180">
        <v>5</v>
      </c>
      <c r="X27" s="669">
        <v>0.95</v>
      </c>
      <c r="Y27" s="670" t="s">
        <v>1267</v>
      </c>
      <c r="Z27" s="377">
        <v>9.5000000000000015E-2</v>
      </c>
      <c r="AA27" s="12" t="s">
        <v>1268</v>
      </c>
      <c r="AB27" s="12" t="s">
        <v>1269</v>
      </c>
      <c r="AC27" s="169">
        <v>1700</v>
      </c>
      <c r="AD27" s="12" t="s">
        <v>87</v>
      </c>
      <c r="AE27" s="671">
        <v>-0.182</v>
      </c>
      <c r="AF27" s="671" t="s">
        <v>36</v>
      </c>
      <c r="AH27" s="132"/>
      <c r="AI27" s="133"/>
      <c r="AJ27" s="99"/>
    </row>
    <row r="28" spans="1:36" ht="15.5">
      <c r="A28" s="665">
        <f t="shared" si="1"/>
        <v>21</v>
      </c>
      <c r="B28" s="649" t="s">
        <v>1270</v>
      </c>
      <c r="C28" s="649" t="s">
        <v>14</v>
      </c>
      <c r="D28" s="674"/>
      <c r="E28" s="667">
        <v>3.44</v>
      </c>
      <c r="F28" s="170">
        <v>150</v>
      </c>
      <c r="G28" s="170">
        <v>120</v>
      </c>
      <c r="H28" s="170">
        <v>7.1</v>
      </c>
      <c r="I28" s="170">
        <v>4.2</v>
      </c>
      <c r="J28" s="170">
        <v>74</v>
      </c>
      <c r="K28" s="131">
        <v>53.96</v>
      </c>
      <c r="L28" s="131">
        <v>56</v>
      </c>
      <c r="M28" s="171">
        <v>0.47799999999999998</v>
      </c>
      <c r="N28" s="171">
        <v>0.43</v>
      </c>
      <c r="O28" s="171">
        <v>0.52200000000000002</v>
      </c>
      <c r="P28" s="171">
        <v>0.56999999999999995</v>
      </c>
      <c r="Q28" s="668">
        <v>6384.7</v>
      </c>
      <c r="R28" s="668">
        <v>7300</v>
      </c>
      <c r="S28" s="171">
        <v>9.5000000000000001E-2</v>
      </c>
      <c r="T28" s="171">
        <v>0.06</v>
      </c>
      <c r="U28" s="171">
        <v>5.5E-2</v>
      </c>
      <c r="V28" s="171">
        <v>4.4999999999999998E-2</v>
      </c>
      <c r="W28" s="180">
        <v>1</v>
      </c>
      <c r="X28" s="669">
        <v>0.7</v>
      </c>
      <c r="Y28" s="670" t="s">
        <v>499</v>
      </c>
      <c r="Z28" s="377">
        <v>0.1</v>
      </c>
      <c r="AA28" s="12" t="s">
        <v>502</v>
      </c>
      <c r="AB28" s="12" t="s">
        <v>505</v>
      </c>
      <c r="AC28" s="169">
        <v>6100</v>
      </c>
      <c r="AD28" s="12" t="s">
        <v>87</v>
      </c>
      <c r="AE28" s="671">
        <v>7.3999999999999996E-2</v>
      </c>
      <c r="AF28" s="671">
        <v>8.1299999999999997E-2</v>
      </c>
      <c r="AH28" s="132"/>
      <c r="AI28" s="133"/>
      <c r="AJ28" s="99"/>
    </row>
    <row r="29" spans="1:36" ht="15.5">
      <c r="A29" s="665">
        <f t="shared" si="1"/>
        <v>22</v>
      </c>
      <c r="B29" s="649" t="s">
        <v>1271</v>
      </c>
      <c r="C29" s="649" t="s">
        <v>40</v>
      </c>
      <c r="D29" s="674"/>
      <c r="E29" s="667">
        <v>1.8</v>
      </c>
      <c r="F29" s="170">
        <v>110</v>
      </c>
      <c r="G29" s="170">
        <v>75</v>
      </c>
      <c r="H29" s="170">
        <v>4.6500000000000004</v>
      </c>
      <c r="I29" s="170">
        <v>2.35</v>
      </c>
      <c r="J29" s="170">
        <v>41</v>
      </c>
      <c r="K29" s="131">
        <v>36.159999999999997</v>
      </c>
      <c r="L29" s="131">
        <v>36.5</v>
      </c>
      <c r="M29" s="171">
        <v>0.39300000000000002</v>
      </c>
      <c r="N29" s="171">
        <v>0.36</v>
      </c>
      <c r="O29" s="171">
        <v>0.60699999999999998</v>
      </c>
      <c r="P29" s="171">
        <v>0.64</v>
      </c>
      <c r="Q29" s="668">
        <v>1876.9</v>
      </c>
      <c r="R29" s="668">
        <v>2300</v>
      </c>
      <c r="S29" s="171">
        <v>0.115</v>
      </c>
      <c r="T29" s="171">
        <v>7.0000000000000007E-2</v>
      </c>
      <c r="U29" s="171">
        <v>6.5000000000000002E-2</v>
      </c>
      <c r="V29" s="171">
        <v>5.5E-2</v>
      </c>
      <c r="W29" s="180">
        <v>3</v>
      </c>
      <c r="X29" s="669">
        <v>0.8</v>
      </c>
      <c r="Y29" s="670" t="s">
        <v>1261</v>
      </c>
      <c r="Z29" s="377">
        <v>9.7000000000000003E-2</v>
      </c>
      <c r="AA29" s="12" t="s">
        <v>1259</v>
      </c>
      <c r="AB29" s="12" t="s">
        <v>1259</v>
      </c>
      <c r="AC29" s="169">
        <v>3800</v>
      </c>
      <c r="AD29" s="12" t="s">
        <v>85</v>
      </c>
      <c r="AE29" s="671" t="s">
        <v>36</v>
      </c>
      <c r="AF29" s="671" t="s">
        <v>36</v>
      </c>
      <c r="AH29" s="132"/>
      <c r="AI29" s="133"/>
      <c r="AJ29" s="99"/>
    </row>
    <row r="30" spans="1:36" ht="15.5">
      <c r="A30" s="665">
        <f t="shared" si="1"/>
        <v>23</v>
      </c>
      <c r="B30" s="649" t="s">
        <v>969</v>
      </c>
      <c r="C30" s="649" t="s">
        <v>15</v>
      </c>
      <c r="D30" s="674"/>
      <c r="E30" s="667">
        <v>2.33</v>
      </c>
      <c r="F30" s="170">
        <v>115</v>
      </c>
      <c r="G30" s="170">
        <v>85</v>
      </c>
      <c r="H30" s="170">
        <v>5.0999999999999996</v>
      </c>
      <c r="I30" s="170">
        <v>3.22</v>
      </c>
      <c r="J30" s="170">
        <v>36</v>
      </c>
      <c r="K30" s="131">
        <v>2057</v>
      </c>
      <c r="L30" s="131">
        <v>2200</v>
      </c>
      <c r="M30" s="171">
        <v>0.59099999999999997</v>
      </c>
      <c r="N30" s="171">
        <v>0.57999999999999996</v>
      </c>
      <c r="O30" s="171">
        <v>0.40899999999999997</v>
      </c>
      <c r="P30" s="171">
        <v>0.42</v>
      </c>
      <c r="Q30" s="668">
        <v>122486</v>
      </c>
      <c r="R30" s="668">
        <v>189400</v>
      </c>
      <c r="S30" s="171">
        <v>0.14000000000000001</v>
      </c>
      <c r="T30" s="171">
        <v>8.5000000000000006E-2</v>
      </c>
      <c r="U30" s="171">
        <v>9.5000000000000001E-2</v>
      </c>
      <c r="V30" s="171">
        <v>0.08</v>
      </c>
      <c r="W30" s="180">
        <v>2</v>
      </c>
      <c r="X30" s="669">
        <v>0.9</v>
      </c>
      <c r="Y30" s="670" t="s">
        <v>498</v>
      </c>
      <c r="Z30" s="377">
        <f>AVERAGE(9.7%,11.7%)</f>
        <v>0.10699999999999998</v>
      </c>
      <c r="AA30" s="12" t="s">
        <v>508</v>
      </c>
      <c r="AB30" s="12" t="s">
        <v>90</v>
      </c>
      <c r="AC30" s="169">
        <v>170000</v>
      </c>
      <c r="AD30" s="12" t="s">
        <v>87</v>
      </c>
      <c r="AE30" s="671">
        <v>0.08</v>
      </c>
      <c r="AF30" s="671">
        <v>7.7200000000000005E-2</v>
      </c>
      <c r="AH30" s="132"/>
      <c r="AI30" s="133"/>
      <c r="AJ30" s="99"/>
    </row>
    <row r="31" spans="1:36" ht="15.5">
      <c r="A31" s="665">
        <f t="shared" si="1"/>
        <v>24</v>
      </c>
      <c r="B31" s="649" t="s">
        <v>1272</v>
      </c>
      <c r="C31" s="649" t="s">
        <v>1363</v>
      </c>
      <c r="D31" s="674"/>
      <c r="E31" s="667">
        <v>2.65</v>
      </c>
      <c r="F31" s="170">
        <v>75</v>
      </c>
      <c r="G31" s="170">
        <v>55</v>
      </c>
      <c r="H31" s="170">
        <v>4.3</v>
      </c>
      <c r="I31" s="170">
        <v>2.8</v>
      </c>
      <c r="J31" s="170">
        <v>53.55</v>
      </c>
      <c r="K31" s="131">
        <v>61.32</v>
      </c>
      <c r="L31" s="131">
        <v>64</v>
      </c>
      <c r="M31" s="171">
        <v>0.48599999999999999</v>
      </c>
      <c r="N31" s="171">
        <v>0.505</v>
      </c>
      <c r="O31" s="171">
        <v>0.51400000000000001</v>
      </c>
      <c r="P31" s="171">
        <v>0.495</v>
      </c>
      <c r="Q31" s="668">
        <v>5554.9</v>
      </c>
      <c r="R31" s="668">
        <v>6950</v>
      </c>
      <c r="S31" s="171">
        <v>0.08</v>
      </c>
      <c r="T31" s="171">
        <v>4.4999999999999998E-2</v>
      </c>
      <c r="U31" s="171">
        <v>1.4999999999999999E-2</v>
      </c>
      <c r="V31" s="171">
        <v>2.5000000000000001E-2</v>
      </c>
      <c r="W31" s="180">
        <v>2</v>
      </c>
      <c r="X31" s="669">
        <v>0.8</v>
      </c>
      <c r="Y31" s="670" t="s">
        <v>1261</v>
      </c>
      <c r="Z31" s="377">
        <f>AVERAGE(9.65%,10.4%)</f>
        <v>0.10025000000000001</v>
      </c>
      <c r="AA31" s="12" t="s">
        <v>502</v>
      </c>
      <c r="AB31" s="12" t="s">
        <v>1259</v>
      </c>
      <c r="AC31" s="169">
        <v>3400</v>
      </c>
      <c r="AD31" s="12" t="s">
        <v>85</v>
      </c>
      <c r="AE31" s="671">
        <v>6.5000000000000002E-2</v>
      </c>
      <c r="AF31" s="671">
        <v>6.8699999999999997E-2</v>
      </c>
      <c r="AH31" s="132"/>
      <c r="AI31" s="133"/>
      <c r="AJ31" s="99"/>
    </row>
    <row r="32" spans="1:36" ht="15.5">
      <c r="A32" s="665">
        <f t="shared" si="1"/>
        <v>25</v>
      </c>
      <c r="B32" s="19" t="s">
        <v>1273</v>
      </c>
      <c r="C32" s="19" t="s">
        <v>41</v>
      </c>
      <c r="D32" s="674"/>
      <c r="E32" s="667">
        <v>1.76</v>
      </c>
      <c r="F32" s="170">
        <v>50</v>
      </c>
      <c r="G32" s="170">
        <v>35</v>
      </c>
      <c r="H32" s="170">
        <v>2.95</v>
      </c>
      <c r="I32" s="170">
        <v>1.79</v>
      </c>
      <c r="J32" s="170">
        <v>26.25</v>
      </c>
      <c r="K32" s="131">
        <v>200.9</v>
      </c>
      <c r="L32" s="131">
        <v>200.2</v>
      </c>
      <c r="M32" s="171">
        <v>0.51400000000000001</v>
      </c>
      <c r="N32" s="171">
        <v>0.5</v>
      </c>
      <c r="O32" s="171">
        <v>0.49199999999999999</v>
      </c>
      <c r="P32" s="171">
        <v>0.5</v>
      </c>
      <c r="Q32" s="668">
        <v>9726.7999999999993</v>
      </c>
      <c r="R32" s="668">
        <v>10400</v>
      </c>
      <c r="S32" s="171">
        <v>0.13</v>
      </c>
      <c r="T32" s="171">
        <v>6.5000000000000002E-2</v>
      </c>
      <c r="U32" s="171">
        <v>0.03</v>
      </c>
      <c r="V32" s="171">
        <v>5.5E-2</v>
      </c>
      <c r="W32" s="180">
        <v>3</v>
      </c>
      <c r="X32" s="669">
        <v>0.9</v>
      </c>
      <c r="Y32" s="670" t="s">
        <v>1261</v>
      </c>
      <c r="Z32" s="377">
        <v>9.5000000000000001E-2</v>
      </c>
      <c r="AA32" s="12" t="s">
        <v>91</v>
      </c>
      <c r="AB32" s="12" t="s">
        <v>90</v>
      </c>
      <c r="AC32" s="169">
        <v>8000</v>
      </c>
      <c r="AD32" s="12" t="s">
        <v>87</v>
      </c>
      <c r="AE32" s="671">
        <v>5.6000000000000001E-2</v>
      </c>
      <c r="AF32" s="671">
        <v>6.3200000000000006E-2</v>
      </c>
      <c r="AH32" s="132"/>
      <c r="AI32" s="133"/>
      <c r="AJ32" s="99"/>
    </row>
    <row r="33" spans="1:36" ht="15.5">
      <c r="A33" s="665">
        <f t="shared" si="1"/>
        <v>26</v>
      </c>
      <c r="B33" s="649" t="s">
        <v>1274</v>
      </c>
      <c r="C33" s="649" t="s">
        <v>42</v>
      </c>
      <c r="D33" s="674"/>
      <c r="E33" s="667">
        <v>2.1</v>
      </c>
      <c r="F33" s="170">
        <v>85</v>
      </c>
      <c r="G33" s="170">
        <v>60</v>
      </c>
      <c r="H33" s="170">
        <v>4.2</v>
      </c>
      <c r="I33" s="170">
        <v>2.36</v>
      </c>
      <c r="J33" s="170">
        <v>44.25</v>
      </c>
      <c r="K33" s="131">
        <v>41.83</v>
      </c>
      <c r="L33" s="131">
        <v>42.5</v>
      </c>
      <c r="M33" s="171">
        <v>0.41199999999999998</v>
      </c>
      <c r="N33" s="171">
        <v>0.42499999999999999</v>
      </c>
      <c r="O33" s="171">
        <v>0.58499999999999996</v>
      </c>
      <c r="P33" s="171">
        <v>0.57499999999999996</v>
      </c>
      <c r="Q33" s="668">
        <v>2287.9</v>
      </c>
      <c r="R33" s="668">
        <v>2525</v>
      </c>
      <c r="S33" s="171">
        <v>0.115</v>
      </c>
      <c r="T33" s="171">
        <v>4.4999999999999998E-2</v>
      </c>
      <c r="U33" s="171">
        <v>7.0000000000000007E-2</v>
      </c>
      <c r="V33" s="171">
        <v>0.08</v>
      </c>
      <c r="W33" s="180">
        <v>2</v>
      </c>
      <c r="X33" s="669">
        <v>0.9</v>
      </c>
      <c r="Y33" s="670" t="s">
        <v>499</v>
      </c>
      <c r="Z33" s="377">
        <f>AVERAGE(9.48%,9.77%,8.75%)</f>
        <v>9.3333333333333338E-2</v>
      </c>
      <c r="AA33" s="12" t="s">
        <v>502</v>
      </c>
      <c r="AB33" s="12" t="s">
        <v>505</v>
      </c>
      <c r="AC33" s="169">
        <v>3800</v>
      </c>
      <c r="AD33" s="12" t="s">
        <v>87</v>
      </c>
      <c r="AE33" s="671" t="s">
        <v>36</v>
      </c>
      <c r="AF33" s="671" t="s">
        <v>36</v>
      </c>
      <c r="AH33" s="132"/>
      <c r="AI33" s="133"/>
      <c r="AJ33" s="99"/>
    </row>
    <row r="34" spans="1:36" ht="15.5">
      <c r="A34" s="665">
        <f t="shared" si="1"/>
        <v>27</v>
      </c>
      <c r="B34" s="649" t="s">
        <v>1013</v>
      </c>
      <c r="C34" s="649" t="s">
        <v>43</v>
      </c>
      <c r="D34" s="674"/>
      <c r="E34" s="667">
        <v>0.12</v>
      </c>
      <c r="F34" s="170">
        <v>35</v>
      </c>
      <c r="G34" s="170">
        <v>25</v>
      </c>
      <c r="H34" s="170">
        <v>2.1</v>
      </c>
      <c r="I34" s="170">
        <v>0.42</v>
      </c>
      <c r="J34" s="170">
        <v>22.4</v>
      </c>
      <c r="K34" s="131">
        <v>2193.6</v>
      </c>
      <c r="L34" s="131">
        <v>2500</v>
      </c>
      <c r="M34" s="171">
        <v>0.63800000000000001</v>
      </c>
      <c r="N34" s="171">
        <v>0.53500000000000003</v>
      </c>
      <c r="O34" s="171">
        <v>0.34</v>
      </c>
      <c r="P34" s="171">
        <v>0.45</v>
      </c>
      <c r="Q34" s="668">
        <v>83974</v>
      </c>
      <c r="R34" s="668">
        <v>124300</v>
      </c>
      <c r="S34" s="171">
        <v>9.5000000000000001E-2</v>
      </c>
      <c r="T34" s="171">
        <v>9.5000000000000001E-2</v>
      </c>
      <c r="U34" s="168" t="s">
        <v>36</v>
      </c>
      <c r="V34" s="171">
        <v>0.115</v>
      </c>
      <c r="W34" s="180">
        <v>3</v>
      </c>
      <c r="X34" s="669">
        <v>0.95</v>
      </c>
      <c r="Y34" s="670" t="s">
        <v>1290</v>
      </c>
      <c r="Z34" s="377">
        <v>0.107</v>
      </c>
      <c r="AA34" s="12" t="s">
        <v>1275</v>
      </c>
      <c r="AB34" s="12" t="s">
        <v>1295</v>
      </c>
      <c r="AC34" s="169">
        <v>35300</v>
      </c>
      <c r="AD34" s="12" t="s">
        <v>85</v>
      </c>
      <c r="AE34" s="671">
        <v>9.5000000000000001E-2</v>
      </c>
      <c r="AF34" s="671">
        <v>9.8400000000000001E-2</v>
      </c>
      <c r="AH34" s="132"/>
      <c r="AI34" s="133"/>
      <c r="AJ34" s="99"/>
    </row>
    <row r="35" spans="1:36" ht="15.5">
      <c r="A35" s="665">
        <f t="shared" si="1"/>
        <v>28</v>
      </c>
      <c r="B35" s="649" t="s">
        <v>1039</v>
      </c>
      <c r="C35" s="649" t="s">
        <v>44</v>
      </c>
      <c r="D35" s="674"/>
      <c r="E35" s="667">
        <v>3.61</v>
      </c>
      <c r="F35" s="170">
        <v>130</v>
      </c>
      <c r="G35" s="170">
        <v>95</v>
      </c>
      <c r="H35" s="170">
        <v>6.25</v>
      </c>
      <c r="I35" s="170">
        <v>3.85</v>
      </c>
      <c r="J35" s="170">
        <v>70</v>
      </c>
      <c r="K35" s="131">
        <v>119.1</v>
      </c>
      <c r="L35" s="131">
        <v>125</v>
      </c>
      <c r="M35" s="171">
        <v>0.54400000000000004</v>
      </c>
      <c r="N35" s="171">
        <v>0.55000000000000004</v>
      </c>
      <c r="O35" s="171">
        <v>0.45600000000000002</v>
      </c>
      <c r="P35" s="171">
        <v>0.45</v>
      </c>
      <c r="Q35" s="668">
        <v>14813</v>
      </c>
      <c r="R35" s="668">
        <v>19500</v>
      </c>
      <c r="S35" s="171">
        <v>0.09</v>
      </c>
      <c r="T35" s="168">
        <v>0.05</v>
      </c>
      <c r="U35" s="171">
        <v>1.4999999999999999E-2</v>
      </c>
      <c r="V35" s="171">
        <v>0.04</v>
      </c>
      <c r="W35" s="180">
        <v>2</v>
      </c>
      <c r="X35" s="669">
        <v>0.8</v>
      </c>
      <c r="Y35" s="670" t="s">
        <v>1261</v>
      </c>
      <c r="Z35" s="377">
        <f>AVERAGE(9.55%,9.85%)</f>
        <v>9.7000000000000003E-2</v>
      </c>
      <c r="AA35" s="12" t="s">
        <v>91</v>
      </c>
      <c r="AB35" s="12" t="s">
        <v>505</v>
      </c>
      <c r="AC35" s="169">
        <v>10600</v>
      </c>
      <c r="AD35" s="12" t="s">
        <v>87</v>
      </c>
      <c r="AE35" s="671">
        <v>2.1999999999999999E-2</v>
      </c>
      <c r="AF35" s="671">
        <v>2.12E-2</v>
      </c>
      <c r="AH35" s="132"/>
      <c r="AI35" s="133"/>
      <c r="AJ35" s="99"/>
    </row>
    <row r="36" spans="1:36" ht="15.5">
      <c r="A36" s="665">
        <f t="shared" si="1"/>
        <v>29</v>
      </c>
      <c r="B36" s="649" t="s">
        <v>1277</v>
      </c>
      <c r="C36" s="649" t="s">
        <v>45</v>
      </c>
      <c r="D36" s="674"/>
      <c r="E36" s="667">
        <v>2.12</v>
      </c>
      <c r="F36" s="170">
        <v>75</v>
      </c>
      <c r="G36" s="170">
        <v>55</v>
      </c>
      <c r="H36" s="170">
        <v>4</v>
      </c>
      <c r="I36" s="170">
        <v>2.6</v>
      </c>
      <c r="J36" s="170">
        <v>42.25</v>
      </c>
      <c r="K36" s="131">
        <v>109.34</v>
      </c>
      <c r="L36" s="131">
        <v>120</v>
      </c>
      <c r="M36" s="171">
        <v>0.55000000000000004</v>
      </c>
      <c r="N36" s="171">
        <v>0.57999999999999996</v>
      </c>
      <c r="O36" s="171">
        <v>0.45</v>
      </c>
      <c r="P36" s="171">
        <v>0.42</v>
      </c>
      <c r="Q36" s="668">
        <v>8424</v>
      </c>
      <c r="R36" s="668">
        <v>12025</v>
      </c>
      <c r="S36" s="171">
        <v>9.5000000000000001E-2</v>
      </c>
      <c r="T36" s="171">
        <v>6.5000000000000002E-2</v>
      </c>
      <c r="U36" s="171">
        <v>5.5E-2</v>
      </c>
      <c r="V36" s="171">
        <v>4.4999999999999998E-2</v>
      </c>
      <c r="W36" s="180">
        <v>2</v>
      </c>
      <c r="X36" s="669">
        <v>0.8</v>
      </c>
      <c r="Y36" s="670" t="s">
        <v>1261</v>
      </c>
      <c r="Z36" s="377">
        <v>9.3399999999999997E-2</v>
      </c>
      <c r="AA36" s="12" t="s">
        <v>91</v>
      </c>
      <c r="AB36" s="12" t="s">
        <v>510</v>
      </c>
      <c r="AC36" s="169">
        <v>4500</v>
      </c>
      <c r="AD36" s="12" t="s">
        <v>87</v>
      </c>
      <c r="AE36" s="671">
        <v>3.5999999999999997E-2</v>
      </c>
      <c r="AF36" s="671">
        <v>3.44E-2</v>
      </c>
      <c r="AH36" s="132"/>
      <c r="AI36" s="133"/>
      <c r="AJ36" s="99"/>
    </row>
    <row r="37" spans="1:36" ht="15.5">
      <c r="A37" s="665">
        <f t="shared" si="1"/>
        <v>30</v>
      </c>
      <c r="B37" s="649" t="s">
        <v>1045</v>
      </c>
      <c r="C37" s="649" t="s">
        <v>46</v>
      </c>
      <c r="D37" s="674"/>
      <c r="E37" s="667">
        <v>1.0900000000000001</v>
      </c>
      <c r="F37" s="170">
        <v>45</v>
      </c>
      <c r="G37" s="170">
        <v>35</v>
      </c>
      <c r="H37" s="170">
        <v>2.4</v>
      </c>
      <c r="I37" s="170">
        <v>1.4</v>
      </c>
      <c r="J37" s="170">
        <v>23.45</v>
      </c>
      <c r="K37" s="131">
        <v>738.03</v>
      </c>
      <c r="L37" s="131">
        <v>738</v>
      </c>
      <c r="M37" s="171">
        <v>0.51300000000000001</v>
      </c>
      <c r="N37" s="171">
        <v>0.495</v>
      </c>
      <c r="O37" s="171">
        <v>0.49099999999999999</v>
      </c>
      <c r="P37" s="171">
        <v>0.505</v>
      </c>
      <c r="Q37" s="668">
        <v>29726</v>
      </c>
      <c r="R37" s="668">
        <v>34280</v>
      </c>
      <c r="S37" s="171">
        <v>9.5000000000000001E-2</v>
      </c>
      <c r="T37" s="168">
        <v>7.4999999999999997E-2</v>
      </c>
      <c r="U37" s="168">
        <v>-5.0000000000000001E-3</v>
      </c>
      <c r="V37" s="168">
        <v>0.03</v>
      </c>
      <c r="W37" s="180">
        <v>2</v>
      </c>
      <c r="X37" s="669">
        <v>0.9</v>
      </c>
      <c r="Y37" s="670" t="s">
        <v>498</v>
      </c>
      <c r="Z37" s="377">
        <v>9.7250000000000003E-2</v>
      </c>
      <c r="AA37" s="12" t="s">
        <v>508</v>
      </c>
      <c r="AB37" s="12" t="s">
        <v>90</v>
      </c>
      <c r="AC37" s="169">
        <v>24100</v>
      </c>
      <c r="AD37" s="12" t="s">
        <v>85</v>
      </c>
      <c r="AE37" s="671">
        <v>7.5999999999999998E-2</v>
      </c>
      <c r="AF37" s="671">
        <v>7.46E-2</v>
      </c>
      <c r="AH37" s="132"/>
      <c r="AI37" s="133"/>
      <c r="AJ37" s="99"/>
    </row>
    <row r="38" spans="1:36" ht="15.5">
      <c r="A38" s="665">
        <f t="shared" si="1"/>
        <v>31</v>
      </c>
      <c r="B38" s="649" t="s">
        <v>1016</v>
      </c>
      <c r="C38" s="649" t="s">
        <v>16</v>
      </c>
      <c r="D38" s="674"/>
      <c r="E38" s="667">
        <v>2.56</v>
      </c>
      <c r="F38" s="170">
        <v>105</v>
      </c>
      <c r="G38" s="170">
        <v>85</v>
      </c>
      <c r="H38" s="170">
        <v>5.25</v>
      </c>
      <c r="I38" s="170">
        <v>3.24</v>
      </c>
      <c r="J38" s="170">
        <v>42.25</v>
      </c>
      <c r="K38" s="131">
        <v>498</v>
      </c>
      <c r="L38" s="131">
        <v>505</v>
      </c>
      <c r="M38" s="171">
        <v>0.54100000000000004</v>
      </c>
      <c r="N38" s="171">
        <v>0.56000000000000005</v>
      </c>
      <c r="O38" s="171">
        <v>0.45900000000000002</v>
      </c>
      <c r="P38" s="171">
        <v>0.44</v>
      </c>
      <c r="Q38" s="668">
        <v>35078</v>
      </c>
      <c r="R38" s="668">
        <v>48500</v>
      </c>
      <c r="S38" s="171">
        <v>0.125</v>
      </c>
      <c r="T38" s="171">
        <v>7.0000000000000007E-2</v>
      </c>
      <c r="U38" s="171">
        <v>0.06</v>
      </c>
      <c r="V38" s="171">
        <v>5.5E-2</v>
      </c>
      <c r="W38" s="180">
        <v>1</v>
      </c>
      <c r="X38" s="669">
        <v>0.85</v>
      </c>
      <c r="Y38" s="670" t="s">
        <v>499</v>
      </c>
      <c r="Z38" s="377">
        <v>9.6000000000000002E-2</v>
      </c>
      <c r="AA38" s="12" t="s">
        <v>91</v>
      </c>
      <c r="AB38" s="12" t="s">
        <v>505</v>
      </c>
      <c r="AC38" s="169">
        <v>45000</v>
      </c>
      <c r="AD38" s="12" t="s">
        <v>85</v>
      </c>
      <c r="AE38" s="671">
        <v>8.5999999999999993E-2</v>
      </c>
      <c r="AF38" s="671">
        <v>6.8000000000000005E-2</v>
      </c>
      <c r="AH38" s="132"/>
      <c r="AI38" s="133"/>
      <c r="AJ38" s="99"/>
    </row>
    <row r="39" spans="1:36" ht="15.5">
      <c r="A39" s="665">
        <f t="shared" si="1"/>
        <v>32</v>
      </c>
      <c r="B39" s="649" t="s">
        <v>1097</v>
      </c>
      <c r="C39" s="649" t="s">
        <v>1096</v>
      </c>
      <c r="D39" s="674"/>
      <c r="E39" s="667">
        <v>2.58</v>
      </c>
      <c r="F39" s="170">
        <v>120</v>
      </c>
      <c r="G39" s="170">
        <v>90</v>
      </c>
      <c r="H39" s="170">
        <v>6.3</v>
      </c>
      <c r="I39" s="170">
        <v>3.28</v>
      </c>
      <c r="J39" s="170">
        <v>59.5</v>
      </c>
      <c r="K39" s="131">
        <v>650.63</v>
      </c>
      <c r="L39" s="131">
        <v>665</v>
      </c>
      <c r="M39" s="171">
        <v>0.503</v>
      </c>
      <c r="N39" s="171">
        <v>0.54</v>
      </c>
      <c r="O39" s="171">
        <v>0.48299999999999998</v>
      </c>
      <c r="P39" s="171">
        <v>0.45</v>
      </c>
      <c r="Q39" s="668">
        <v>62800</v>
      </c>
      <c r="R39" s="668">
        <v>95000</v>
      </c>
      <c r="S39" s="171">
        <v>0.105</v>
      </c>
      <c r="T39" s="171">
        <v>5.5E-2</v>
      </c>
      <c r="U39" s="171">
        <v>5.5E-2</v>
      </c>
      <c r="V39" s="171">
        <v>0.05</v>
      </c>
      <c r="W39" s="180">
        <v>2</v>
      </c>
      <c r="X39" s="669">
        <v>0.9</v>
      </c>
      <c r="Y39" s="670" t="s">
        <v>1261</v>
      </c>
      <c r="Z39" s="377">
        <f>AVERAGE(9.95%,9.7%)</f>
        <v>9.824999999999999E-2</v>
      </c>
      <c r="AA39" s="12" t="s">
        <v>91</v>
      </c>
      <c r="AB39" s="12" t="s">
        <v>505</v>
      </c>
      <c r="AC39" s="169">
        <v>41600</v>
      </c>
      <c r="AD39" s="12" t="s">
        <v>85</v>
      </c>
      <c r="AE39" s="671">
        <v>0.06</v>
      </c>
      <c r="AF39" s="671">
        <v>7.9399999999999998E-2</v>
      </c>
      <c r="AH39" s="132"/>
      <c r="AI39" s="133"/>
      <c r="AJ39" s="99"/>
    </row>
    <row r="40" spans="1:36" ht="15.5">
      <c r="A40" s="665">
        <f t="shared" si="1"/>
        <v>33</v>
      </c>
      <c r="B40" s="649" t="s">
        <v>1092</v>
      </c>
      <c r="C40" s="649" t="s">
        <v>18</v>
      </c>
      <c r="D40" s="674"/>
      <c r="E40" s="667">
        <v>2.96</v>
      </c>
      <c r="F40" s="170">
        <v>105</v>
      </c>
      <c r="G40" s="170">
        <v>80</v>
      </c>
      <c r="H40" s="170">
        <v>5.6</v>
      </c>
      <c r="I40" s="170">
        <v>3.1</v>
      </c>
      <c r="J40" s="170">
        <v>32.25</v>
      </c>
      <c r="K40" s="131">
        <v>1096</v>
      </c>
      <c r="L40" s="131">
        <v>1120</v>
      </c>
      <c r="M40" s="171">
        <v>0.64400000000000002</v>
      </c>
      <c r="N40" s="171">
        <v>0.63</v>
      </c>
      <c r="O40" s="171">
        <v>0.36799999999999999</v>
      </c>
      <c r="P40" s="171">
        <v>0.37</v>
      </c>
      <c r="Q40" s="668">
        <v>84373</v>
      </c>
      <c r="R40" s="668">
        <v>93500</v>
      </c>
      <c r="S40" s="171">
        <v>0.14499999999999999</v>
      </c>
      <c r="T40" s="171">
        <v>6.5000000000000002E-2</v>
      </c>
      <c r="U40" s="171">
        <v>3.5000000000000003E-2</v>
      </c>
      <c r="V40" s="171">
        <v>3.5000000000000003E-2</v>
      </c>
      <c r="W40" s="180">
        <v>2</v>
      </c>
      <c r="X40" s="669">
        <v>0.75</v>
      </c>
      <c r="Y40" s="670" t="s">
        <v>499</v>
      </c>
      <c r="Z40" s="377">
        <v>0.125</v>
      </c>
      <c r="AA40" s="12" t="s">
        <v>508</v>
      </c>
      <c r="AB40" s="12" t="s">
        <v>90</v>
      </c>
      <c r="AC40" s="169">
        <v>100500</v>
      </c>
      <c r="AD40" s="12" t="s">
        <v>85</v>
      </c>
      <c r="AE40" s="671">
        <v>7.5999999999999998E-2</v>
      </c>
      <c r="AF40" s="671">
        <v>6.5500000000000003E-2</v>
      </c>
      <c r="AH40" s="132"/>
      <c r="AI40" s="133"/>
      <c r="AJ40" s="99"/>
    </row>
    <row r="41" spans="1:36" ht="15.5">
      <c r="A41" s="665">
        <f t="shared" si="1"/>
        <v>34</v>
      </c>
      <c r="B41" s="649" t="s">
        <v>1364</v>
      </c>
      <c r="C41" s="649" t="s">
        <v>1365</v>
      </c>
      <c r="D41" s="674"/>
      <c r="E41" s="667">
        <v>1.65</v>
      </c>
      <c r="F41" s="170">
        <v>70</v>
      </c>
      <c r="G41" s="170">
        <v>50</v>
      </c>
      <c r="H41" s="170">
        <v>3.65</v>
      </c>
      <c r="I41" s="170">
        <v>2</v>
      </c>
      <c r="J41" s="170">
        <v>33</v>
      </c>
      <c r="K41" s="131">
        <v>90.43</v>
      </c>
      <c r="L41" s="131">
        <v>95</v>
      </c>
      <c r="M41" s="171">
        <v>0.63</v>
      </c>
      <c r="N41" s="171">
        <v>0.67500000000000004</v>
      </c>
      <c r="O41" s="171">
        <v>0.37</v>
      </c>
      <c r="P41" s="171">
        <v>0.32500000000000001</v>
      </c>
      <c r="Q41" s="668">
        <v>6848.1</v>
      </c>
      <c r="R41" s="668">
        <v>10400</v>
      </c>
      <c r="S41" s="171">
        <v>0.1</v>
      </c>
      <c r="T41" s="171">
        <v>4.4999999999999998E-2</v>
      </c>
      <c r="U41" s="171">
        <v>0.05</v>
      </c>
      <c r="V41" s="171">
        <v>3.5000000000000003E-2</v>
      </c>
      <c r="W41" s="180">
        <v>2</v>
      </c>
      <c r="X41" s="669">
        <v>0.7</v>
      </c>
      <c r="Y41" s="670" t="s">
        <v>1261</v>
      </c>
      <c r="Z41" s="377">
        <f>AVERAGE(0.0926,0.0965)</f>
        <v>9.4549999999999995E-2</v>
      </c>
      <c r="AA41" s="12" t="s">
        <v>502</v>
      </c>
      <c r="AB41" s="12" t="s">
        <v>507</v>
      </c>
      <c r="AC41" s="169">
        <v>4600</v>
      </c>
      <c r="AD41" s="12" t="s">
        <v>87</v>
      </c>
      <c r="AE41" s="671">
        <v>6.0999999999999999E-2</v>
      </c>
      <c r="AF41" s="671">
        <v>7.5600000000000001E-2</v>
      </c>
      <c r="AH41" s="132"/>
      <c r="AI41" s="133"/>
      <c r="AJ41" s="99"/>
    </row>
    <row r="42" spans="1:36" ht="15.5">
      <c r="A42" s="665">
        <f t="shared" si="1"/>
        <v>35</v>
      </c>
      <c r="B42" s="649" t="s">
        <v>1183</v>
      </c>
      <c r="C42" s="649" t="s">
        <v>19</v>
      </c>
      <c r="D42" s="674"/>
      <c r="E42" s="667">
        <v>3.57</v>
      </c>
      <c r="F42" s="170">
        <v>155</v>
      </c>
      <c r="G42" s="170">
        <v>125</v>
      </c>
      <c r="H42" s="170">
        <v>6.9</v>
      </c>
      <c r="I42" s="170">
        <v>4.59</v>
      </c>
      <c r="J42" s="170">
        <v>46.75</v>
      </c>
      <c r="K42" s="131">
        <v>317.68</v>
      </c>
      <c r="L42" s="131">
        <v>315.43</v>
      </c>
      <c r="M42" s="171">
        <v>0.54900000000000004</v>
      </c>
      <c r="N42" s="171">
        <v>0.55500000000000005</v>
      </c>
      <c r="O42" s="171">
        <v>0.443</v>
      </c>
      <c r="P42" s="171">
        <v>0.44500000000000001</v>
      </c>
      <c r="Q42" s="668">
        <v>27362</v>
      </c>
      <c r="R42" s="668">
        <v>29800</v>
      </c>
      <c r="S42" s="171">
        <v>0.13</v>
      </c>
      <c r="T42" s="171">
        <v>0.06</v>
      </c>
      <c r="U42" s="171">
        <v>7.0000000000000007E-2</v>
      </c>
      <c r="V42" s="171">
        <v>0.04</v>
      </c>
      <c r="W42" s="180">
        <v>1</v>
      </c>
      <c r="X42" s="669">
        <v>0.7</v>
      </c>
      <c r="Y42" s="670" t="s">
        <v>498</v>
      </c>
      <c r="Z42" s="377">
        <f>AVERAGE(10.1%,9.67%,9.7%,9.85%)</f>
        <v>9.8299999999999985E-2</v>
      </c>
      <c r="AA42" s="12" t="s">
        <v>508</v>
      </c>
      <c r="AB42" s="12" t="s">
        <v>90</v>
      </c>
      <c r="AC42" s="169">
        <v>29400</v>
      </c>
      <c r="AD42" s="12" t="s">
        <v>85</v>
      </c>
      <c r="AE42" s="671">
        <v>7.5999999999999998E-2</v>
      </c>
      <c r="AF42" s="671">
        <v>6.9500000000000006E-2</v>
      </c>
      <c r="AH42" s="132"/>
      <c r="AI42" s="133"/>
      <c r="AJ42" s="99"/>
    </row>
    <row r="43" spans="1:36" ht="15.5">
      <c r="A43" s="665">
        <f t="shared" si="1"/>
        <v>36</v>
      </c>
      <c r="B43" s="649" t="s">
        <v>1202</v>
      </c>
      <c r="C43" s="649" t="s">
        <v>20</v>
      </c>
      <c r="D43" s="674"/>
      <c r="E43" s="667">
        <v>2.3199999999999998</v>
      </c>
      <c r="F43" s="170">
        <v>100</v>
      </c>
      <c r="G43" s="170">
        <v>75</v>
      </c>
      <c r="H43" s="170">
        <v>5</v>
      </c>
      <c r="I43" s="170">
        <v>3</v>
      </c>
      <c r="J43" s="170">
        <v>43.7</v>
      </c>
      <c r="K43" s="131">
        <v>574.37</v>
      </c>
      <c r="L43" s="131">
        <v>595</v>
      </c>
      <c r="M43" s="171">
        <v>0.58299999999999996</v>
      </c>
      <c r="N43" s="171">
        <v>0.61</v>
      </c>
      <c r="O43" s="171">
        <v>0.41699999999999998</v>
      </c>
      <c r="P43" s="171">
        <v>0.39</v>
      </c>
      <c r="Q43" s="668">
        <v>46838</v>
      </c>
      <c r="R43" s="668">
        <v>66500</v>
      </c>
      <c r="S43" s="171">
        <v>0.11</v>
      </c>
      <c r="T43" s="171">
        <v>7.0000000000000007E-2</v>
      </c>
      <c r="U43" s="171">
        <v>6.5000000000000002E-2</v>
      </c>
      <c r="V43" s="171">
        <v>5.5E-2</v>
      </c>
      <c r="W43" s="180">
        <v>2</v>
      </c>
      <c r="X43" s="669">
        <v>0.75</v>
      </c>
      <c r="Y43" s="670" t="s">
        <v>499</v>
      </c>
      <c r="Z43" s="377">
        <v>9.6000000000000002E-2</v>
      </c>
      <c r="AA43" s="12" t="s">
        <v>91</v>
      </c>
      <c r="AB43" s="12" t="s">
        <v>90</v>
      </c>
      <c r="AC43" s="169">
        <v>38500</v>
      </c>
      <c r="AD43" s="12" t="s">
        <v>85</v>
      </c>
      <c r="AE43" s="671">
        <v>8.4000000000000005E-2</v>
      </c>
      <c r="AF43" s="671">
        <v>7.5200000000000003E-2</v>
      </c>
      <c r="AH43" s="132"/>
      <c r="AI43" s="133"/>
      <c r="AJ43" s="99"/>
    </row>
    <row r="44" spans="1:36">
      <c r="A44" s="665"/>
      <c r="B44" s="649"/>
      <c r="C44" s="649"/>
      <c r="D44" s="674"/>
      <c r="E44" s="677"/>
      <c r="F44" s="677"/>
      <c r="G44" s="677"/>
      <c r="H44" s="677"/>
      <c r="I44" s="677"/>
      <c r="J44" s="677"/>
      <c r="K44" s="678"/>
      <c r="L44" s="678"/>
      <c r="M44" s="679"/>
      <c r="N44" s="679"/>
      <c r="O44" s="679"/>
      <c r="P44" s="679"/>
      <c r="Q44" s="680"/>
      <c r="R44" s="680"/>
      <c r="S44" s="679"/>
      <c r="T44" s="679"/>
      <c r="U44" s="679"/>
      <c r="V44" s="679"/>
      <c r="W44" s="69"/>
      <c r="X44" s="681"/>
      <c r="Y44" s="682"/>
      <c r="Z44" s="672"/>
      <c r="AA44" s="683"/>
      <c r="AB44" s="683"/>
      <c r="AC44" s="134"/>
      <c r="AD44" s="672"/>
      <c r="AE44" s="135"/>
      <c r="AF44" s="135"/>
      <c r="AG44" s="135"/>
      <c r="AH44" s="135"/>
      <c r="AI44" s="135"/>
    </row>
    <row r="45" spans="1:36">
      <c r="A45" s="665"/>
      <c r="B45" s="649"/>
      <c r="C45" s="649"/>
      <c r="D45" s="674"/>
      <c r="E45" s="677"/>
      <c r="S45" s="684">
        <f>AVERAGE(S8:S43)</f>
        <v>0.10750000000000004</v>
      </c>
      <c r="T45" s="679"/>
      <c r="U45" s="679"/>
      <c r="V45" s="679"/>
      <c r="W45" s="69"/>
      <c r="X45" s="681">
        <f>AVERAGE(X8:X43)</f>
        <v>0.7957142857142856</v>
      </c>
      <c r="Y45" s="682"/>
      <c r="Z45" s="672"/>
      <c r="AA45" s="683"/>
      <c r="AC45" s="134">
        <f>AVERAGE(AC8:AC43)</f>
        <v>29536.111111111109</v>
      </c>
      <c r="AE45" s="135"/>
      <c r="AF45" s="135"/>
      <c r="AG45" s="135"/>
      <c r="AH45" s="135"/>
      <c r="AI45" s="135"/>
      <c r="AJ45" s="684"/>
    </row>
    <row r="46" spans="1:36">
      <c r="A46" s="665"/>
      <c r="D46" s="674"/>
      <c r="E46" s="677"/>
      <c r="S46" s="679"/>
      <c r="W46" s="69"/>
      <c r="X46" s="681"/>
      <c r="Y46" s="682"/>
      <c r="Z46" s="672"/>
      <c r="AA46" s="683"/>
      <c r="AC46" s="686"/>
      <c r="AD46" s="687"/>
      <c r="AE46" s="136"/>
      <c r="AF46" s="136"/>
      <c r="AG46" s="136"/>
      <c r="AH46" s="136"/>
      <c r="AI46" s="136"/>
    </row>
    <row r="47" spans="1:36" s="5" customFormat="1" ht="13">
      <c r="A47" s="8" t="s">
        <v>21</v>
      </c>
      <c r="B47" s="8" t="s">
        <v>1466</v>
      </c>
      <c r="C47" s="8"/>
      <c r="D47" s="8"/>
      <c r="E47" s="8"/>
      <c r="F47" s="8"/>
      <c r="G47" s="8"/>
      <c r="H47" s="8"/>
      <c r="I47" s="8"/>
      <c r="J47" s="8"/>
      <c r="K47" s="8"/>
      <c r="S47" s="165"/>
      <c r="W47" s="172"/>
      <c r="X47" s="688"/>
      <c r="Y47" s="689"/>
      <c r="Z47" s="690"/>
      <c r="AA47" s="173"/>
      <c r="AD47" s="174"/>
      <c r="AE47" s="78"/>
      <c r="AF47" s="78"/>
      <c r="AG47" s="78"/>
      <c r="AH47" s="78"/>
      <c r="AI47" s="78"/>
    </row>
    <row r="48" spans="1:36" s="5" customFormat="1" ht="13">
      <c r="A48" s="691" t="s">
        <v>22</v>
      </c>
      <c r="B48" s="6" t="s">
        <v>1465</v>
      </c>
      <c r="C48" s="8"/>
      <c r="D48" s="692"/>
      <c r="E48" s="693"/>
      <c r="F48" s="693"/>
      <c r="G48" s="693"/>
      <c r="H48" s="8"/>
      <c r="S48" s="165"/>
      <c r="W48" s="172"/>
      <c r="X48" s="688"/>
      <c r="Y48" s="689"/>
      <c r="Z48" s="690"/>
      <c r="AA48" s="173"/>
      <c r="AC48" s="694"/>
      <c r="AD48" s="695"/>
      <c r="AE48" s="78"/>
      <c r="AF48" s="78"/>
      <c r="AG48" s="78"/>
      <c r="AH48" s="78"/>
      <c r="AI48" s="78"/>
    </row>
    <row r="49" spans="1:2" s="5" customFormat="1" ht="13">
      <c r="A49" s="183" t="s">
        <v>23</v>
      </c>
      <c r="B49" s="5" t="s">
        <v>1474</v>
      </c>
    </row>
    <row r="50" spans="1:2" s="5" customFormat="1" ht="13">
      <c r="A50" s="691" t="s">
        <v>24</v>
      </c>
      <c r="B50" s="5" t="s">
        <v>1475</v>
      </c>
    </row>
    <row r="51" spans="1:2" s="5" customFormat="1" ht="13">
      <c r="A51" s="691" t="s">
        <v>25</v>
      </c>
      <c r="B51" s="8" t="s">
        <v>1479</v>
      </c>
    </row>
    <row r="52" spans="1:2" s="5" customFormat="1" ht="13">
      <c r="A52" s="691" t="s">
        <v>26</v>
      </c>
      <c r="B52" s="183" t="s">
        <v>1467</v>
      </c>
    </row>
    <row r="53" spans="1:2" s="5" customFormat="1" ht="13">
      <c r="A53" s="691" t="s">
        <v>27</v>
      </c>
      <c r="B53" s="183" t="s">
        <v>1278</v>
      </c>
    </row>
    <row r="54" spans="1:2" s="5" customFormat="1" ht="13">
      <c r="A54" s="691" t="s">
        <v>28</v>
      </c>
      <c r="B54" s="183" t="s">
        <v>1278</v>
      </c>
    </row>
    <row r="55" spans="1:2" s="5" customFormat="1" ht="13">
      <c r="A55" s="691" t="s">
        <v>29</v>
      </c>
      <c r="B55" s="183" t="s">
        <v>1278</v>
      </c>
    </row>
    <row r="56" spans="1:2" s="5" customFormat="1" ht="13">
      <c r="A56" s="691" t="s">
        <v>30</v>
      </c>
      <c r="B56" s="183" t="s">
        <v>1278</v>
      </c>
    </row>
  </sheetData>
  <sortState xmlns:xlrd2="http://schemas.microsoft.com/office/spreadsheetml/2017/richdata2" ref="B8:AI43">
    <sortCondition ref="C8:C43"/>
  </sortState>
  <mergeCells count="7">
    <mergeCell ref="F6:G6"/>
    <mergeCell ref="H6:J6"/>
    <mergeCell ref="T6:V6"/>
    <mergeCell ref="K6:L6"/>
    <mergeCell ref="M6:N6"/>
    <mergeCell ref="O6:P6"/>
    <mergeCell ref="Q6:R6"/>
  </mergeCells>
  <phoneticPr fontId="0" type="noConversion"/>
  <printOptions horizontalCentered="1"/>
  <pageMargins left="0.5" right="0.5" top="0.75" bottom="0.25" header="0" footer="0"/>
  <pageSetup scale="39" orientation="landscape" horizontalDpi="300" verticalDpi="300" r:id="rId1"/>
  <headerFooter alignWithMargins="0"/>
  <legacy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B7FBD-A048-4DCD-A440-7AD19CD65863}">
  <sheetPr codeName="Sheet12"/>
  <dimension ref="A1:P34"/>
  <sheetViews>
    <sheetView workbookViewId="0">
      <selection activeCell="C26" sqref="C26"/>
    </sheetView>
  </sheetViews>
  <sheetFormatPr defaultRowHeight="15" customHeight="1"/>
  <cols>
    <col min="1" max="1" width="17.7265625" customWidth="1"/>
    <col min="2" max="2" width="32.54296875" customWidth="1"/>
    <col min="3" max="3" width="30.1796875" customWidth="1"/>
    <col min="4" max="9" width="17.7265625" customWidth="1"/>
    <col min="10" max="12" width="17.7265625" style="592" customWidth="1"/>
    <col min="13" max="16" width="8.7265625" style="592"/>
  </cols>
  <sheetData>
    <row r="1" spans="1:4" customFormat="1" ht="15" customHeight="1">
      <c r="A1" s="1477" t="s">
        <v>1506</v>
      </c>
      <c r="B1" s="1478"/>
      <c r="C1" s="1478"/>
    </row>
    <row r="2" spans="1:4" customFormat="1" ht="15" customHeight="1"/>
    <row r="3" spans="1:4" customFormat="1" ht="15" customHeight="1">
      <c r="A3" s="696" t="s">
        <v>1507</v>
      </c>
      <c r="B3" s="697" t="s">
        <v>1508</v>
      </c>
    </row>
    <row r="4" spans="1:4" customFormat="1" ht="15" customHeight="1">
      <c r="A4" s="698" t="s">
        <v>1280</v>
      </c>
      <c r="B4" s="699" t="s">
        <v>1509</v>
      </c>
      <c r="C4" s="699" t="s">
        <v>1510</v>
      </c>
      <c r="D4" s="699" t="s">
        <v>1279</v>
      </c>
    </row>
    <row r="5" spans="1:4" customFormat="1" ht="15" customHeight="1">
      <c r="A5" s="700" t="s">
        <v>1511</v>
      </c>
      <c r="B5" s="701">
        <v>3948.05</v>
      </c>
      <c r="C5" s="701">
        <v>20178.36</v>
      </c>
      <c r="D5" s="702">
        <v>5.1999999999999998E-3</v>
      </c>
    </row>
    <row r="6" spans="1:4" customFormat="1" ht="15" customHeight="1">
      <c r="A6" s="700" t="s">
        <v>1512</v>
      </c>
      <c r="B6" s="701">
        <v>731.19</v>
      </c>
      <c r="C6" s="701">
        <v>3946.15</v>
      </c>
      <c r="D6" s="702">
        <v>1.0200000000000001E-2</v>
      </c>
    </row>
    <row r="7" spans="1:4" customFormat="1" ht="15" customHeight="1">
      <c r="A7" s="700" t="s">
        <v>1513</v>
      </c>
      <c r="B7" s="701">
        <v>1.1100000000000001</v>
      </c>
      <c r="C7" s="701">
        <v>729.92</v>
      </c>
      <c r="D7" s="702">
        <v>2.6600000000000002E-2</v>
      </c>
    </row>
    <row r="8" spans="1:4" customFormat="1" ht="15" customHeight="1">
      <c r="A8" s="1479" t="s">
        <v>1281</v>
      </c>
      <c r="B8" s="1478"/>
      <c r="C8" s="1478"/>
      <c r="D8" s="1478"/>
    </row>
    <row r="9" spans="1:4" customFormat="1" ht="15" customHeight="1">
      <c r="A9" s="700">
        <v>1</v>
      </c>
      <c r="B9" s="701">
        <v>47156.53</v>
      </c>
      <c r="C9" s="701">
        <v>3522211.14</v>
      </c>
      <c r="D9" s="702">
        <v>-1E-4</v>
      </c>
    </row>
    <row r="10" spans="1:4" customFormat="1" ht="15" customHeight="1">
      <c r="A10" s="700">
        <v>2</v>
      </c>
      <c r="B10" s="701">
        <v>20191.22</v>
      </c>
      <c r="C10" s="701">
        <v>46949.06</v>
      </c>
      <c r="D10" s="702">
        <v>3.3E-3</v>
      </c>
    </row>
    <row r="11" spans="1:4" customFormat="1" ht="15" customHeight="1">
      <c r="A11" s="700">
        <v>3</v>
      </c>
      <c r="B11" s="701">
        <v>9937.94</v>
      </c>
      <c r="C11" s="701">
        <v>20178.36</v>
      </c>
      <c r="D11" s="702">
        <v>4.8999999999999998E-3</v>
      </c>
    </row>
    <row r="12" spans="1:4" customFormat="1" ht="15" customHeight="1">
      <c r="A12" s="700">
        <v>4</v>
      </c>
      <c r="B12" s="701">
        <v>6196.71</v>
      </c>
      <c r="C12" s="701">
        <v>9937.35</v>
      </c>
      <c r="D12" s="702">
        <v>5.0000000000000001E-3</v>
      </c>
    </row>
    <row r="13" spans="1:4" customFormat="1" ht="15" customHeight="1">
      <c r="A13" s="700">
        <v>5</v>
      </c>
      <c r="B13" s="701">
        <v>3948.05</v>
      </c>
      <c r="C13" s="701">
        <v>6181.27</v>
      </c>
      <c r="D13" s="702">
        <v>7.4000000000000003E-3</v>
      </c>
    </row>
    <row r="14" spans="1:4" customFormat="1" ht="15" customHeight="1">
      <c r="A14" s="700">
        <v>6</v>
      </c>
      <c r="B14" s="701">
        <v>2481.7800000000002</v>
      </c>
      <c r="C14" s="701">
        <v>3946.15</v>
      </c>
      <c r="D14" s="702">
        <v>0.01</v>
      </c>
    </row>
    <row r="15" spans="1:4" customFormat="1" ht="15" customHeight="1">
      <c r="A15" s="700">
        <v>7</v>
      </c>
      <c r="B15" s="701">
        <v>1422.89</v>
      </c>
      <c r="C15" s="701">
        <v>2464.5</v>
      </c>
      <c r="D15" s="702">
        <v>1.1899999999999999E-2</v>
      </c>
    </row>
    <row r="16" spans="1:4" customFormat="1" ht="15" customHeight="1">
      <c r="A16" s="700">
        <v>8</v>
      </c>
      <c r="B16" s="701">
        <v>731.19</v>
      </c>
      <c r="C16" s="701">
        <v>1417.45</v>
      </c>
      <c r="D16" s="702">
        <v>8.8000000000000005E-3</v>
      </c>
    </row>
    <row r="17" spans="1:5" customFormat="1" ht="15" customHeight="1">
      <c r="A17" s="700">
        <v>9</v>
      </c>
      <c r="B17" s="701">
        <v>304.62</v>
      </c>
      <c r="C17" s="701">
        <v>729.92</v>
      </c>
      <c r="D17" s="702">
        <v>1.7299999999999999E-2</v>
      </c>
    </row>
    <row r="18" spans="1:5" customFormat="1" ht="15" customHeight="1">
      <c r="A18" s="700">
        <v>10</v>
      </c>
      <c r="B18" s="701">
        <v>1.1100000000000001</v>
      </c>
      <c r="C18" s="701">
        <v>304.48</v>
      </c>
      <c r="D18" s="702">
        <v>4.4699999999999997E-2</v>
      </c>
    </row>
    <row r="19" spans="1:5" customFormat="1" ht="15" customHeight="1">
      <c r="A19" s="1479" t="s">
        <v>1282</v>
      </c>
      <c r="B19" s="1478"/>
      <c r="C19" s="1478"/>
      <c r="D19" s="1478"/>
    </row>
    <row r="20" spans="1:5" customFormat="1" ht="15" customHeight="1">
      <c r="A20" s="700" t="s">
        <v>1283</v>
      </c>
      <c r="B20" s="701">
        <v>132.06</v>
      </c>
      <c r="C20" s="701">
        <v>304.48</v>
      </c>
      <c r="D20" s="702">
        <v>3.0600000000000002E-2</v>
      </c>
    </row>
    <row r="21" spans="1:5" customFormat="1" ht="15" customHeight="1">
      <c r="A21" s="700" t="s">
        <v>1514</v>
      </c>
      <c r="B21" s="701">
        <v>221.04</v>
      </c>
      <c r="C21" s="701">
        <v>304.48</v>
      </c>
      <c r="D21" s="702">
        <v>2.18E-2</v>
      </c>
    </row>
    <row r="22" spans="1:5" customFormat="1" ht="15" customHeight="1">
      <c r="A22" s="700" t="s">
        <v>1515</v>
      </c>
      <c r="B22" s="701">
        <v>132.06</v>
      </c>
      <c r="C22" s="701">
        <v>220.59</v>
      </c>
      <c r="D22" s="702">
        <v>4.1700000000000001E-2</v>
      </c>
    </row>
    <row r="23" spans="1:5" customFormat="1" ht="14">
      <c r="A23" s="700" t="s">
        <v>1284</v>
      </c>
      <c r="B23" s="701">
        <v>1.1100000000000001</v>
      </c>
      <c r="C23" s="701">
        <v>131.88</v>
      </c>
      <c r="D23" s="702">
        <v>7.4200000000000002E-2</v>
      </c>
    </row>
    <row r="24" spans="1:5" customFormat="1" ht="15" customHeight="1">
      <c r="A24" s="700" t="s">
        <v>1516</v>
      </c>
      <c r="B24" s="701">
        <v>68.28</v>
      </c>
      <c r="C24" s="701">
        <v>131.88</v>
      </c>
      <c r="D24" s="702">
        <v>5.9800000000000006E-2</v>
      </c>
    </row>
    <row r="25" spans="1:5" customFormat="1" ht="15" customHeight="1">
      <c r="A25" s="700" t="s">
        <v>1517</v>
      </c>
      <c r="B25" s="701">
        <v>1.1100000000000001</v>
      </c>
      <c r="C25" s="701">
        <v>67.44</v>
      </c>
      <c r="D25" s="702">
        <v>0.1057</v>
      </c>
    </row>
    <row r="26" spans="1:5" customFormat="1" ht="15" customHeight="1">
      <c r="A26" t="s">
        <v>1518</v>
      </c>
    </row>
    <row r="27" spans="1:5" customFormat="1" ht="15" customHeight="1">
      <c r="A27" s="703" t="s">
        <v>1519</v>
      </c>
    </row>
    <row r="28" spans="1:5" customFormat="1" ht="15" customHeight="1">
      <c r="A28" s="1476" t="s">
        <v>1520</v>
      </c>
      <c r="B28" s="1476"/>
      <c r="C28" s="1476"/>
      <c r="D28" s="1476"/>
      <c r="E28" s="1476"/>
    </row>
    <row r="29" spans="1:5" customFormat="1" ht="15" customHeight="1"/>
    <row r="30" spans="1:5" customFormat="1" ht="15" customHeight="1"/>
    <row r="31" spans="1:5" customFormat="1" ht="15" customHeight="1"/>
    <row r="32" spans="1:5" customFormat="1" ht="15" customHeight="1"/>
    <row r="33" customFormat="1" ht="15" customHeight="1"/>
    <row r="34" customFormat="1" ht="15" customHeight="1"/>
  </sheetData>
  <mergeCells count="4">
    <mergeCell ref="A28:E28"/>
    <mergeCell ref="A1:C1"/>
    <mergeCell ref="A8:D8"/>
    <mergeCell ref="A19:D19"/>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4">
    <pageSetUpPr fitToPage="1"/>
  </sheetPr>
  <dimension ref="A1:AF48"/>
  <sheetViews>
    <sheetView workbookViewId="0">
      <selection activeCell="M42" sqref="M42"/>
    </sheetView>
  </sheetViews>
  <sheetFormatPr defaultColWidth="10.26953125" defaultRowHeight="15.5"/>
  <cols>
    <col min="1" max="3" width="7.54296875" style="1" customWidth="1"/>
    <col min="4" max="4" width="3.7265625" style="1" customWidth="1"/>
    <col min="5" max="7" width="7.54296875" style="1" customWidth="1"/>
    <col min="8" max="8" width="3.7265625" style="1" customWidth="1"/>
    <col min="9" max="9" width="10.453125" style="1" customWidth="1"/>
    <col min="10" max="10" width="7.54296875" style="1" customWidth="1"/>
    <col min="11" max="11" width="10.453125" style="1" customWidth="1"/>
    <col min="12" max="12" width="3.7265625" style="1" customWidth="1"/>
    <col min="13" max="13" width="10.453125" style="1" customWidth="1"/>
    <col min="14" max="14" width="7.54296875" style="1" customWidth="1"/>
    <col min="15" max="15" width="10.453125" style="1" customWidth="1"/>
    <col min="16" max="16384" width="10.26953125" style="1"/>
  </cols>
  <sheetData>
    <row r="1" spans="1:32">
      <c r="A1" s="65" t="s">
        <v>1285</v>
      </c>
    </row>
    <row r="3" spans="1:32" s="2" customFormat="1" ht="15">
      <c r="A3" s="1473" t="s">
        <v>64</v>
      </c>
      <c r="B3" s="1473"/>
      <c r="C3" s="1473"/>
      <c r="D3" s="175"/>
      <c r="E3" s="1473" t="s">
        <v>1286</v>
      </c>
      <c r="F3" s="1473"/>
      <c r="G3" s="1473"/>
      <c r="I3" s="1473" t="s">
        <v>63</v>
      </c>
      <c r="J3" s="1473"/>
      <c r="K3" s="1473"/>
      <c r="M3" s="1480" t="s">
        <v>1287</v>
      </c>
      <c r="N3" s="1480"/>
      <c r="O3" s="1480"/>
    </row>
    <row r="4" spans="1:32">
      <c r="A4" s="65" t="s">
        <v>493</v>
      </c>
      <c r="B4" s="2"/>
      <c r="C4" s="65" t="s">
        <v>493</v>
      </c>
      <c r="D4" s="65"/>
      <c r="E4" s="65" t="s">
        <v>66</v>
      </c>
      <c r="F4" s="2"/>
      <c r="G4" s="65" t="s">
        <v>66</v>
      </c>
      <c r="H4" s="2"/>
      <c r="I4" s="65" t="s">
        <v>494</v>
      </c>
      <c r="J4" s="2"/>
      <c r="K4" s="65" t="s">
        <v>494</v>
      </c>
      <c r="M4" s="11" t="s">
        <v>494</v>
      </c>
      <c r="N4" s="122"/>
      <c r="O4" s="11" t="s">
        <v>494</v>
      </c>
      <c r="AE4" s="1" t="s">
        <v>26</v>
      </c>
      <c r="AF4" s="1" t="s">
        <v>27</v>
      </c>
    </row>
    <row r="5" spans="1:32">
      <c r="A5" s="62" t="s">
        <v>79</v>
      </c>
      <c r="B5" s="95" t="s">
        <v>1288</v>
      </c>
      <c r="C5" s="62" t="s">
        <v>79</v>
      </c>
      <c r="D5" s="62"/>
      <c r="E5" s="62" t="s">
        <v>65</v>
      </c>
      <c r="F5" s="95" t="s">
        <v>1288</v>
      </c>
      <c r="G5" s="3" t="s">
        <v>65</v>
      </c>
      <c r="H5" s="3"/>
      <c r="I5" s="62" t="s">
        <v>79</v>
      </c>
      <c r="J5" s="95" t="s">
        <v>1288</v>
      </c>
      <c r="K5" s="62" t="s">
        <v>79</v>
      </c>
      <c r="M5" s="118" t="s">
        <v>79</v>
      </c>
      <c r="N5" s="123" t="s">
        <v>1288</v>
      </c>
      <c r="O5" s="118" t="s">
        <v>79</v>
      </c>
    </row>
    <row r="6" spans="1:32">
      <c r="A6" s="19" t="s">
        <v>511</v>
      </c>
      <c r="B6" s="93">
        <v>1</v>
      </c>
      <c r="C6" s="19" t="s">
        <v>511</v>
      </c>
      <c r="D6" s="19"/>
      <c r="E6" s="19" t="s">
        <v>501</v>
      </c>
      <c r="F6" s="93">
        <v>1</v>
      </c>
      <c r="G6" s="19" t="s">
        <v>501</v>
      </c>
      <c r="I6" s="19" t="s">
        <v>511</v>
      </c>
      <c r="J6" s="93">
        <v>1</v>
      </c>
      <c r="K6" s="19" t="s">
        <v>511</v>
      </c>
      <c r="M6" s="13" t="s">
        <v>511</v>
      </c>
      <c r="N6" s="128">
        <v>1</v>
      </c>
      <c r="O6" s="13" t="s">
        <v>511</v>
      </c>
      <c r="AF6" s="90"/>
    </row>
    <row r="7" spans="1:32">
      <c r="A7" s="19" t="s">
        <v>503</v>
      </c>
      <c r="B7" s="93">
        <v>2</v>
      </c>
      <c r="C7" s="19" t="s">
        <v>503</v>
      </c>
      <c r="D7" s="19"/>
      <c r="E7" s="19" t="s">
        <v>498</v>
      </c>
      <c r="F7" s="93">
        <v>2</v>
      </c>
      <c r="G7" s="19" t="s">
        <v>498</v>
      </c>
      <c r="I7" s="19" t="s">
        <v>1289</v>
      </c>
      <c r="J7" s="93">
        <v>2</v>
      </c>
      <c r="K7" s="19" t="s">
        <v>1289</v>
      </c>
      <c r="M7" s="13" t="s">
        <v>503</v>
      </c>
      <c r="N7" s="128">
        <v>2</v>
      </c>
      <c r="O7" s="13" t="s">
        <v>503</v>
      </c>
      <c r="AF7" s="90">
        <v>6.0999999999999999E-2</v>
      </c>
    </row>
    <row r="8" spans="1:32">
      <c r="A8" s="19" t="s">
        <v>512</v>
      </c>
      <c r="B8" s="93">
        <v>3</v>
      </c>
      <c r="C8" s="19" t="s">
        <v>512</v>
      </c>
      <c r="D8" s="19"/>
      <c r="E8" s="19" t="s">
        <v>499</v>
      </c>
      <c r="F8" s="93">
        <v>3</v>
      </c>
      <c r="G8" s="19" t="s">
        <v>499</v>
      </c>
      <c r="I8" s="19" t="s">
        <v>513</v>
      </c>
      <c r="J8" s="93">
        <v>3</v>
      </c>
      <c r="K8" s="19" t="s">
        <v>513</v>
      </c>
      <c r="M8" s="13" t="s">
        <v>512</v>
      </c>
      <c r="N8" s="128">
        <v>3</v>
      </c>
      <c r="O8" s="13" t="s">
        <v>512</v>
      </c>
      <c r="AF8" s="90">
        <v>5.5E-2</v>
      </c>
    </row>
    <row r="9" spans="1:32">
      <c r="A9" s="19" t="s">
        <v>496</v>
      </c>
      <c r="B9" s="93">
        <v>4</v>
      </c>
      <c r="C9" s="19" t="s">
        <v>496</v>
      </c>
      <c r="D9" s="19"/>
      <c r="E9" s="19" t="s">
        <v>1261</v>
      </c>
      <c r="F9" s="93">
        <v>4</v>
      </c>
      <c r="G9" s="19" t="s">
        <v>1261</v>
      </c>
      <c r="I9" s="19" t="s">
        <v>497</v>
      </c>
      <c r="J9" s="93">
        <v>4</v>
      </c>
      <c r="K9" s="19" t="s">
        <v>497</v>
      </c>
      <c r="M9" s="13" t="s">
        <v>496</v>
      </c>
      <c r="N9" s="128">
        <v>4</v>
      </c>
      <c r="O9" s="13" t="s">
        <v>496</v>
      </c>
      <c r="AF9" s="90">
        <v>6.5000000000000002E-2</v>
      </c>
    </row>
    <row r="10" spans="1:32">
      <c r="A10" s="19" t="s">
        <v>498</v>
      </c>
      <c r="B10" s="93">
        <v>5</v>
      </c>
      <c r="C10" s="19" t="s">
        <v>498</v>
      </c>
      <c r="D10" s="19"/>
      <c r="E10" s="19" t="s">
        <v>1263</v>
      </c>
      <c r="F10" s="93">
        <v>5</v>
      </c>
      <c r="G10" s="19" t="s">
        <v>1263</v>
      </c>
      <c r="I10" s="19" t="s">
        <v>509</v>
      </c>
      <c r="J10" s="93">
        <v>5</v>
      </c>
      <c r="K10" s="19" t="s">
        <v>509</v>
      </c>
      <c r="M10" s="13" t="s">
        <v>498</v>
      </c>
      <c r="N10" s="128">
        <v>5</v>
      </c>
      <c r="O10" s="13" t="s">
        <v>498</v>
      </c>
      <c r="AF10" s="90">
        <v>5.6300000000000003E-2</v>
      </c>
    </row>
    <row r="11" spans="1:32">
      <c r="A11" s="19" t="s">
        <v>499</v>
      </c>
      <c r="B11" s="93">
        <v>6</v>
      </c>
      <c r="C11" s="19" t="s">
        <v>499</v>
      </c>
      <c r="D11" s="19"/>
      <c r="E11" s="19" t="s">
        <v>1290</v>
      </c>
      <c r="F11" s="93">
        <v>6</v>
      </c>
      <c r="G11" s="19" t="s">
        <v>1290</v>
      </c>
      <c r="I11" s="19" t="s">
        <v>500</v>
      </c>
      <c r="J11" s="93">
        <v>6</v>
      </c>
      <c r="K11" s="19" t="s">
        <v>500</v>
      </c>
      <c r="M11" s="13" t="s">
        <v>499</v>
      </c>
      <c r="N11" s="128">
        <v>6</v>
      </c>
      <c r="O11" s="13" t="s">
        <v>499</v>
      </c>
      <c r="AF11" s="90">
        <v>8.5000000000000006E-2</v>
      </c>
    </row>
    <row r="12" spans="1:32">
      <c r="A12" s="19" t="s">
        <v>508</v>
      </c>
      <c r="B12" s="93">
        <v>7</v>
      </c>
      <c r="C12" s="19" t="s">
        <v>508</v>
      </c>
      <c r="D12" s="19"/>
      <c r="E12" s="19" t="s">
        <v>1291</v>
      </c>
      <c r="F12" s="93">
        <v>7</v>
      </c>
      <c r="G12" s="19" t="s">
        <v>1291</v>
      </c>
      <c r="I12" s="19" t="s">
        <v>510</v>
      </c>
      <c r="J12" s="93">
        <v>7</v>
      </c>
      <c r="K12" s="19" t="s">
        <v>510</v>
      </c>
      <c r="M12" s="13" t="s">
        <v>508</v>
      </c>
      <c r="N12" s="128">
        <v>7</v>
      </c>
      <c r="O12" s="13" t="s">
        <v>508</v>
      </c>
      <c r="AF12" s="90" t="s">
        <v>36</v>
      </c>
    </row>
    <row r="13" spans="1:32">
      <c r="A13" s="19" t="s">
        <v>91</v>
      </c>
      <c r="B13" s="93">
        <v>8</v>
      </c>
      <c r="C13" s="19" t="s">
        <v>91</v>
      </c>
      <c r="D13" s="19"/>
      <c r="E13" s="19" t="s">
        <v>1267</v>
      </c>
      <c r="F13" s="93">
        <v>8</v>
      </c>
      <c r="G13" s="19" t="s">
        <v>1267</v>
      </c>
      <c r="I13" s="19" t="s">
        <v>90</v>
      </c>
      <c r="J13" s="93">
        <v>8</v>
      </c>
      <c r="K13" s="19" t="s">
        <v>90</v>
      </c>
      <c r="M13" s="13" t="s">
        <v>91</v>
      </c>
      <c r="N13" s="128">
        <v>8</v>
      </c>
      <c r="O13" s="13" t="s">
        <v>91</v>
      </c>
      <c r="AF13" s="90">
        <v>0.05</v>
      </c>
    </row>
    <row r="14" spans="1:32">
      <c r="A14" s="19" t="s">
        <v>502</v>
      </c>
      <c r="B14" s="93">
        <v>9</v>
      </c>
      <c r="C14" s="19" t="s">
        <v>502</v>
      </c>
      <c r="D14" s="19"/>
      <c r="E14" s="19" t="s">
        <v>137</v>
      </c>
      <c r="F14" s="67">
        <v>9</v>
      </c>
      <c r="G14" s="19" t="s">
        <v>137</v>
      </c>
      <c r="I14" s="19" t="s">
        <v>505</v>
      </c>
      <c r="J14" s="93">
        <v>9</v>
      </c>
      <c r="K14" s="19" t="s">
        <v>505</v>
      </c>
      <c r="M14" s="13" t="s">
        <v>502</v>
      </c>
      <c r="N14" s="128">
        <v>9</v>
      </c>
      <c r="O14" s="13" t="s">
        <v>502</v>
      </c>
      <c r="AF14" s="90">
        <v>0.05</v>
      </c>
    </row>
    <row r="15" spans="1:32">
      <c r="A15" s="19" t="s">
        <v>506</v>
      </c>
      <c r="B15" s="93">
        <v>10</v>
      </c>
      <c r="C15" s="19" t="s">
        <v>506</v>
      </c>
      <c r="D15" s="19"/>
      <c r="E15" s="1" t="s">
        <v>127</v>
      </c>
      <c r="F15" s="1" t="s">
        <v>71</v>
      </c>
      <c r="G15" s="1" t="s">
        <v>127</v>
      </c>
      <c r="I15" s="19" t="s">
        <v>507</v>
      </c>
      <c r="J15" s="93">
        <v>10</v>
      </c>
      <c r="K15" s="19" t="s">
        <v>507</v>
      </c>
      <c r="M15" s="13" t="s">
        <v>506</v>
      </c>
      <c r="N15" s="128">
        <v>10</v>
      </c>
      <c r="O15" s="13" t="s">
        <v>506</v>
      </c>
      <c r="AF15" s="90">
        <v>0.06</v>
      </c>
    </row>
    <row r="16" spans="1:32">
      <c r="A16" s="19" t="s">
        <v>1292</v>
      </c>
      <c r="B16" s="93">
        <v>11</v>
      </c>
      <c r="C16" s="19" t="s">
        <v>1292</v>
      </c>
      <c r="D16" s="19"/>
      <c r="E16" s="1" t="s">
        <v>36</v>
      </c>
      <c r="F16" s="1" t="s">
        <v>71</v>
      </c>
      <c r="G16" s="1" t="s">
        <v>36</v>
      </c>
      <c r="I16" s="19" t="s">
        <v>1276</v>
      </c>
      <c r="J16" s="93">
        <v>11</v>
      </c>
      <c r="K16" s="19" t="s">
        <v>1276</v>
      </c>
      <c r="M16" s="13" t="s">
        <v>1292</v>
      </c>
      <c r="N16" s="128">
        <v>11</v>
      </c>
      <c r="O16" s="13" t="s">
        <v>1292</v>
      </c>
      <c r="AF16" s="90">
        <v>3.5999999999999997E-2</v>
      </c>
    </row>
    <row r="17" spans="1:32">
      <c r="A17" s="19" t="s">
        <v>1275</v>
      </c>
      <c r="B17" s="93">
        <v>12</v>
      </c>
      <c r="C17" s="19" t="s">
        <v>1275</v>
      </c>
      <c r="D17" s="19"/>
      <c r="I17" s="19" t="s">
        <v>1293</v>
      </c>
      <c r="J17" s="93">
        <v>12</v>
      </c>
      <c r="K17" s="19" t="s">
        <v>1293</v>
      </c>
      <c r="M17" s="13" t="s">
        <v>1275</v>
      </c>
      <c r="N17" s="128">
        <v>12</v>
      </c>
      <c r="O17" s="13" t="s">
        <v>1275</v>
      </c>
      <c r="AF17" s="90">
        <v>0.06</v>
      </c>
    </row>
    <row r="18" spans="1:32">
      <c r="A18" s="19" t="s">
        <v>1294</v>
      </c>
      <c r="B18" s="93">
        <v>13</v>
      </c>
      <c r="C18" s="19" t="s">
        <v>1294</v>
      </c>
      <c r="D18" s="19"/>
      <c r="I18" s="19" t="s">
        <v>1295</v>
      </c>
      <c r="J18" s="93">
        <v>13</v>
      </c>
      <c r="K18" s="19" t="s">
        <v>1295</v>
      </c>
      <c r="M18" s="13" t="s">
        <v>1294</v>
      </c>
      <c r="N18" s="128">
        <v>13</v>
      </c>
      <c r="O18" s="13" t="s">
        <v>1294</v>
      </c>
      <c r="AF18" s="90">
        <v>5.9299999999999999E-2</v>
      </c>
    </row>
    <row r="19" spans="1:32">
      <c r="A19" s="19" t="s">
        <v>1263</v>
      </c>
      <c r="B19" s="93">
        <v>14</v>
      </c>
      <c r="C19" s="19" t="s">
        <v>1263</v>
      </c>
      <c r="D19" s="19"/>
      <c r="I19" s="19" t="s">
        <v>1269</v>
      </c>
      <c r="J19" s="93">
        <v>14</v>
      </c>
      <c r="K19" s="19" t="s">
        <v>1269</v>
      </c>
      <c r="M19" s="13" t="s">
        <v>1263</v>
      </c>
      <c r="N19" s="128">
        <v>14</v>
      </c>
      <c r="O19" s="13" t="s">
        <v>1263</v>
      </c>
      <c r="AF19" s="90">
        <v>0.05</v>
      </c>
    </row>
    <row r="20" spans="1:32">
      <c r="A20" s="19" t="s">
        <v>1290</v>
      </c>
      <c r="B20" s="93">
        <v>15</v>
      </c>
      <c r="C20" s="19" t="s">
        <v>1290</v>
      </c>
      <c r="D20" s="19"/>
      <c r="I20" s="19" t="s">
        <v>1296</v>
      </c>
      <c r="J20" s="93">
        <v>15</v>
      </c>
      <c r="K20" s="19" t="s">
        <v>1296</v>
      </c>
      <c r="M20" s="13" t="s">
        <v>1290</v>
      </c>
      <c r="N20" s="128">
        <v>15</v>
      </c>
      <c r="O20" s="13" t="s">
        <v>1290</v>
      </c>
      <c r="AF20" s="90">
        <v>6.3299999999999995E-2</v>
      </c>
    </row>
    <row r="21" spans="1:32">
      <c r="A21" s="19" t="s">
        <v>1268</v>
      </c>
      <c r="B21" s="93">
        <v>16</v>
      </c>
      <c r="C21" s="19" t="s">
        <v>1268</v>
      </c>
      <c r="D21" s="19"/>
      <c r="I21" s="19" t="s">
        <v>1297</v>
      </c>
      <c r="J21" s="93">
        <v>16</v>
      </c>
      <c r="K21" s="19" t="s">
        <v>1297</v>
      </c>
      <c r="M21" s="13" t="s">
        <v>1268</v>
      </c>
      <c r="N21" s="128">
        <v>16</v>
      </c>
      <c r="O21" s="13" t="s">
        <v>1268</v>
      </c>
      <c r="AF21" s="90">
        <v>7.9000000000000001E-2</v>
      </c>
    </row>
    <row r="22" spans="1:32">
      <c r="A22" s="19" t="s">
        <v>1298</v>
      </c>
      <c r="B22" s="93">
        <v>17</v>
      </c>
      <c r="C22" s="19" t="s">
        <v>1298</v>
      </c>
      <c r="D22" s="19"/>
      <c r="I22" s="19" t="s">
        <v>1299</v>
      </c>
      <c r="J22" s="93">
        <v>17</v>
      </c>
      <c r="K22" s="19" t="s">
        <v>1299</v>
      </c>
      <c r="M22" s="13" t="s">
        <v>1298</v>
      </c>
      <c r="N22" s="128">
        <v>17</v>
      </c>
      <c r="O22" s="13" t="s">
        <v>1298</v>
      </c>
      <c r="AF22" s="90" t="s">
        <v>36</v>
      </c>
    </row>
    <row r="23" spans="1:32">
      <c r="A23" s="19" t="s">
        <v>1300</v>
      </c>
      <c r="B23" s="93">
        <v>18</v>
      </c>
      <c r="C23" s="19" t="s">
        <v>1300</v>
      </c>
      <c r="D23" s="19"/>
      <c r="I23" s="19" t="s">
        <v>1301</v>
      </c>
      <c r="J23" s="93">
        <v>18</v>
      </c>
      <c r="K23" s="19" t="s">
        <v>1301</v>
      </c>
      <c r="M23" s="13" t="s">
        <v>1298</v>
      </c>
      <c r="N23" s="128">
        <v>18</v>
      </c>
      <c r="O23" s="13" t="s">
        <v>1298</v>
      </c>
      <c r="AF23" s="90">
        <v>-5.0000000000000001E-3</v>
      </c>
    </row>
    <row r="24" spans="1:32">
      <c r="A24" s="19" t="s">
        <v>1302</v>
      </c>
      <c r="B24" s="93">
        <v>19</v>
      </c>
      <c r="C24" s="19" t="s">
        <v>1302</v>
      </c>
      <c r="D24" s="19"/>
      <c r="I24" s="19" t="s">
        <v>1303</v>
      </c>
      <c r="J24" s="93">
        <v>19</v>
      </c>
      <c r="K24" s="19" t="s">
        <v>1303</v>
      </c>
      <c r="M24" s="13" t="s">
        <v>1302</v>
      </c>
      <c r="N24" s="128">
        <v>19</v>
      </c>
      <c r="O24" s="13" t="s">
        <v>1302</v>
      </c>
      <c r="AF24" s="90">
        <v>6.3299999999999995E-2</v>
      </c>
    </row>
    <row r="25" spans="1:32">
      <c r="A25" s="19" t="s">
        <v>1304</v>
      </c>
      <c r="B25" s="93">
        <v>20</v>
      </c>
      <c r="C25" s="19" t="s">
        <v>1304</v>
      </c>
      <c r="D25" s="19"/>
      <c r="I25" s="19" t="s">
        <v>1259</v>
      </c>
      <c r="J25" s="68" t="s">
        <v>127</v>
      </c>
      <c r="K25" s="19" t="s">
        <v>127</v>
      </c>
      <c r="M25" s="82" t="s">
        <v>1304</v>
      </c>
      <c r="N25" s="128">
        <v>20</v>
      </c>
      <c r="O25" s="82" t="s">
        <v>1304</v>
      </c>
      <c r="AF25" s="90">
        <v>4.9000000000000002E-2</v>
      </c>
    </row>
    <row r="26" spans="1:32">
      <c r="A26" s="19" t="s">
        <v>137</v>
      </c>
      <c r="B26" s="93">
        <v>21</v>
      </c>
      <c r="C26" s="19" t="s">
        <v>137</v>
      </c>
      <c r="D26" s="19"/>
      <c r="I26" s="19"/>
      <c r="J26" s="93"/>
      <c r="K26" s="19"/>
      <c r="M26" s="82" t="s">
        <v>137</v>
      </c>
      <c r="N26" s="128">
        <v>21</v>
      </c>
      <c r="O26" s="82" t="s">
        <v>137</v>
      </c>
      <c r="AF26" s="90">
        <v>-4.0000000000000001E-3</v>
      </c>
    </row>
    <row r="27" spans="1:32">
      <c r="A27" s="19" t="s">
        <v>138</v>
      </c>
      <c r="B27" s="93">
        <v>22</v>
      </c>
      <c r="C27" s="19" t="s">
        <v>138</v>
      </c>
      <c r="D27" s="19"/>
      <c r="I27" s="19"/>
      <c r="J27" s="93"/>
      <c r="K27" s="19"/>
      <c r="M27" s="82" t="s">
        <v>138</v>
      </c>
      <c r="N27" s="128">
        <v>22</v>
      </c>
      <c r="O27" s="82" t="s">
        <v>138</v>
      </c>
      <c r="AF27" s="90">
        <v>5.5E-2</v>
      </c>
    </row>
    <row r="28" spans="1:32">
      <c r="A28" s="19" t="s">
        <v>1259</v>
      </c>
      <c r="B28" s="68" t="s">
        <v>1305</v>
      </c>
      <c r="C28" s="19" t="s">
        <v>127</v>
      </c>
      <c r="D28" s="19"/>
      <c r="I28" s="19"/>
      <c r="J28" s="67"/>
      <c r="K28" s="19"/>
      <c r="M28" s="13" t="s">
        <v>1259</v>
      </c>
      <c r="N28" s="10" t="s">
        <v>71</v>
      </c>
      <c r="O28" s="13" t="s">
        <v>127</v>
      </c>
      <c r="AF28" s="90">
        <v>0.05</v>
      </c>
    </row>
    <row r="29" spans="1:32">
      <c r="M29" s="82"/>
      <c r="N29" s="82"/>
      <c r="O29" s="82"/>
      <c r="AF29" s="90">
        <v>0.04</v>
      </c>
    </row>
    <row r="30" spans="1:32">
      <c r="M30" s="82"/>
      <c r="N30" s="82"/>
      <c r="O30" s="82"/>
      <c r="AF30" s="90">
        <v>0.04</v>
      </c>
    </row>
    <row r="31" spans="1:32">
      <c r="AF31" s="90" t="s">
        <v>36</v>
      </c>
    </row>
    <row r="32" spans="1:32">
      <c r="AF32" s="90">
        <v>7.0300000000000001E-2</v>
      </c>
    </row>
    <row r="33" spans="32:32">
      <c r="AF33" s="90">
        <v>3.2500000000000001E-2</v>
      </c>
    </row>
    <row r="34" spans="32:32">
      <c r="AF34" s="90">
        <v>5.33E-2</v>
      </c>
    </row>
    <row r="35" spans="32:32">
      <c r="AF35" s="90" t="s">
        <v>36</v>
      </c>
    </row>
    <row r="36" spans="32:32">
      <c r="AF36" s="90">
        <v>4.3700000000000003E-2</v>
      </c>
    </row>
    <row r="37" spans="32:32">
      <c r="AF37" s="90">
        <v>5.0700000000000002E-2</v>
      </c>
    </row>
    <row r="38" spans="32:32">
      <c r="AF38" s="90">
        <v>6.5299999999999997E-2</v>
      </c>
    </row>
    <row r="39" spans="32:32">
      <c r="AF39" s="90">
        <v>5.2499999999999998E-2</v>
      </c>
    </row>
    <row r="40" spans="32:32">
      <c r="AF40" s="90">
        <v>0.05</v>
      </c>
    </row>
    <row r="41" spans="32:32">
      <c r="AF41" s="90">
        <v>0.03</v>
      </c>
    </row>
    <row r="42" spans="32:32">
      <c r="AF42" s="90">
        <v>5.33E-2</v>
      </c>
    </row>
    <row r="43" spans="32:32">
      <c r="AF43" s="90">
        <v>8.6699999999999999E-2</v>
      </c>
    </row>
    <row r="44" spans="32:32">
      <c r="AF44" s="90">
        <v>0.05</v>
      </c>
    </row>
    <row r="45" spans="32:32">
      <c r="AF45" s="90">
        <v>5.67E-2</v>
      </c>
    </row>
    <row r="46" spans="32:32">
      <c r="AF46" s="90">
        <v>0.06</v>
      </c>
    </row>
    <row r="47" spans="32:32">
      <c r="AF47" s="90">
        <v>0.04</v>
      </c>
    </row>
    <row r="48" spans="32:32">
      <c r="AF48" s="90">
        <v>5.4300000000000001E-2</v>
      </c>
    </row>
  </sheetData>
  <mergeCells count="4">
    <mergeCell ref="A3:C3"/>
    <mergeCell ref="E3:G3"/>
    <mergeCell ref="I3:K3"/>
    <mergeCell ref="M3:O3"/>
  </mergeCells>
  <phoneticPr fontId="12" type="noConversion"/>
  <printOptions horizontalCentered="1"/>
  <pageMargins left="0.5" right="0.5" top="0.75" bottom="0.25" header="0" footer="0"/>
  <pageSetup scale="43"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5">
    <pageSetUpPr fitToPage="1"/>
  </sheetPr>
  <dimension ref="B2:L27"/>
  <sheetViews>
    <sheetView zoomScaleNormal="100" zoomScaleSheetLayoutView="100" workbookViewId="0"/>
  </sheetViews>
  <sheetFormatPr defaultColWidth="10.26953125" defaultRowHeight="15.5"/>
  <cols>
    <col min="1" max="1" width="4" style="1" customWidth="1"/>
    <col min="2" max="2" width="10.26953125" style="1"/>
    <col min="3" max="3" width="8.26953125" style="1" customWidth="1"/>
    <col min="4" max="4" width="9" style="1" bestFit="1" customWidth="1"/>
    <col min="5" max="5" width="1" style="1" customWidth="1"/>
    <col min="6" max="6" width="6.7265625" style="77" customWidth="1"/>
    <col min="7" max="7" width="2.54296875" style="77" customWidth="1"/>
    <col min="8" max="8" width="6.1796875" style="1" customWidth="1"/>
    <col min="9" max="9" width="2.26953125" style="1" customWidth="1"/>
    <col min="10" max="10" width="8.1796875" style="77" customWidth="1"/>
    <col min="11" max="11" width="1.7265625" style="77" customWidth="1"/>
    <col min="12" max="12" width="7.7265625" style="77" customWidth="1"/>
    <col min="13" max="16384" width="10.26953125" style="1"/>
  </cols>
  <sheetData>
    <row r="2" spans="2:12">
      <c r="B2" s="710"/>
      <c r="C2" s="710"/>
      <c r="D2" s="70"/>
      <c r="E2" s="710"/>
      <c r="F2" s="70"/>
      <c r="G2" s="710"/>
      <c r="H2" s="1421" t="s">
        <v>60</v>
      </c>
      <c r="I2" s="1421"/>
      <c r="J2" s="1421"/>
      <c r="K2" s="1421"/>
      <c r="L2" s="1421"/>
    </row>
    <row r="3" spans="2:12">
      <c r="B3" s="710"/>
      <c r="C3" s="710"/>
      <c r="D3" s="1421" t="s">
        <v>1895</v>
      </c>
      <c r="E3" s="1421"/>
      <c r="F3" s="1421"/>
      <c r="G3" s="70"/>
      <c r="H3" s="70" t="s">
        <v>61</v>
      </c>
      <c r="I3" s="70"/>
      <c r="J3" s="70" t="s">
        <v>62</v>
      </c>
      <c r="K3" s="70"/>
      <c r="L3" s="70"/>
    </row>
    <row r="4" spans="2:12">
      <c r="B4" s="710"/>
      <c r="C4" s="710"/>
      <c r="D4" s="711" t="s">
        <v>63</v>
      </c>
      <c r="E4" s="711"/>
      <c r="F4" s="711" t="s">
        <v>64</v>
      </c>
      <c r="G4" s="711"/>
      <c r="H4" s="711" t="s">
        <v>65</v>
      </c>
      <c r="I4" s="711"/>
      <c r="J4" s="711" t="s">
        <v>66</v>
      </c>
      <c r="K4" s="711"/>
      <c r="L4" s="711" t="s">
        <v>67</v>
      </c>
    </row>
    <row r="5" spans="2:12">
      <c r="B5" s="712" t="s">
        <v>68</v>
      </c>
      <c r="C5" s="712"/>
      <c r="D5" s="713" t="str">
        <f>'Proxy Group Risk Measures'!H29</f>
        <v>Baa2</v>
      </c>
      <c r="E5" s="713"/>
      <c r="F5" s="713" t="str">
        <f>'Proxy Group Risk Measures'!E29</f>
        <v>BBB+</v>
      </c>
      <c r="G5" s="713"/>
      <c r="H5" s="713">
        <f>'Proxy Group Risk Measures'!K29</f>
        <v>2</v>
      </c>
      <c r="I5" s="713"/>
      <c r="J5" s="713" t="str">
        <f>'Proxy Group Risk Measures'!M29</f>
        <v>A</v>
      </c>
      <c r="K5" s="713"/>
      <c r="L5" s="714">
        <f>'Proxy Group Risk Measures'!P29</f>
        <v>0.7975000000000001</v>
      </c>
    </row>
    <row r="6" spans="2:12">
      <c r="B6" s="712" t="s">
        <v>1481</v>
      </c>
      <c r="C6" s="712"/>
      <c r="D6" s="713" t="str">
        <f>'Proxy Group Criteria'!F52</f>
        <v>Baa3</v>
      </c>
      <c r="E6" s="713"/>
      <c r="F6" s="713" t="str">
        <f>'Proxy Group Criteria'!I52</f>
        <v>BBB</v>
      </c>
      <c r="G6" s="713"/>
      <c r="H6" s="713">
        <f>'Proxy Group Criteria'!L11</f>
        <v>1</v>
      </c>
      <c r="I6" s="713"/>
      <c r="J6" s="713" t="str">
        <f>'Proxy Group Criteria'!N11</f>
        <v>A</v>
      </c>
      <c r="K6" s="713"/>
      <c r="L6" s="714">
        <f>'Proxy Group Criteria'!P11</f>
        <v>0.7</v>
      </c>
    </row>
    <row r="7" spans="2:12" ht="5.15" customHeight="1">
      <c r="B7" s="712"/>
      <c r="C7" s="712"/>
      <c r="D7" s="713"/>
      <c r="E7" s="713"/>
      <c r="F7" s="713"/>
      <c r="G7" s="713"/>
      <c r="H7" s="713"/>
      <c r="I7" s="713"/>
      <c r="J7" s="713"/>
      <c r="K7" s="713"/>
      <c r="L7" s="714"/>
    </row>
    <row r="8" spans="2:12" s="5" customFormat="1" ht="25.5" customHeight="1"/>
    <row r="9" spans="2:12">
      <c r="G9" s="1"/>
      <c r="J9" s="1"/>
      <c r="K9" s="1"/>
      <c r="L9" s="1"/>
    </row>
    <row r="10" spans="2:12">
      <c r="G10" s="1"/>
      <c r="J10" s="1"/>
      <c r="K10" s="1"/>
      <c r="L10" s="1"/>
    </row>
    <row r="11" spans="2:12">
      <c r="G11" s="1"/>
      <c r="J11" s="1"/>
      <c r="K11" s="1"/>
      <c r="L11" s="1"/>
    </row>
    <row r="12" spans="2:12">
      <c r="B12" s="710"/>
      <c r="C12" s="710"/>
      <c r="D12" s="70"/>
      <c r="E12" s="710"/>
      <c r="F12" s="70"/>
      <c r="G12" s="710"/>
      <c r="H12" s="1421" t="s">
        <v>60</v>
      </c>
      <c r="I12" s="1421"/>
      <c r="J12" s="1421"/>
      <c r="K12" s="1421"/>
      <c r="L12" s="1421"/>
    </row>
    <row r="13" spans="2:12">
      <c r="B13" s="710"/>
      <c r="C13" s="710"/>
      <c r="D13" s="1421" t="s">
        <v>1895</v>
      </c>
      <c r="E13" s="1421"/>
      <c r="F13" s="1421"/>
      <c r="G13" s="70"/>
      <c r="H13" s="70" t="s">
        <v>61</v>
      </c>
      <c r="I13" s="70"/>
      <c r="J13" s="70" t="s">
        <v>62</v>
      </c>
      <c r="K13" s="70"/>
      <c r="L13" s="70"/>
    </row>
    <row r="14" spans="2:12">
      <c r="B14" s="710"/>
      <c r="C14" s="710"/>
      <c r="D14" s="711" t="s">
        <v>63</v>
      </c>
      <c r="E14" s="711"/>
      <c r="F14" s="711" t="s">
        <v>64</v>
      </c>
      <c r="G14" s="711"/>
      <c r="H14" s="711" t="s">
        <v>65</v>
      </c>
      <c r="I14" s="711"/>
      <c r="J14" s="711" t="s">
        <v>66</v>
      </c>
      <c r="K14" s="711"/>
      <c r="L14" s="711" t="s">
        <v>67</v>
      </c>
    </row>
    <row r="15" spans="2:12">
      <c r="B15" s="712" t="s">
        <v>69</v>
      </c>
      <c r="C15" s="712"/>
      <c r="D15" s="713" t="str">
        <f>'Proxy Group Risk Measures'!H91</f>
        <v>A2</v>
      </c>
      <c r="E15" s="713"/>
      <c r="F15" s="713" t="str">
        <f>'Proxy Group Risk Measures'!E91</f>
        <v>A</v>
      </c>
      <c r="G15" s="713"/>
      <c r="H15" s="715">
        <f>'Proxy Group Risk Measures'!K91</f>
        <v>1</v>
      </c>
      <c r="I15" s="713"/>
      <c r="J15" s="713" t="str">
        <f>'Proxy Group Risk Measures'!M91</f>
        <v>A+</v>
      </c>
      <c r="K15" s="713"/>
      <c r="L15" s="717">
        <f>'Proxy Group Risk Measures'!P91</f>
        <v>0.73333333333333328</v>
      </c>
    </row>
    <row r="16" spans="2:12">
      <c r="B16" s="712" t="str">
        <f>B5</f>
        <v>Utility Group</v>
      </c>
      <c r="C16" s="712"/>
      <c r="D16" s="713" t="str">
        <f>'Proxy Group Risk Measures'!H29</f>
        <v>Baa2</v>
      </c>
      <c r="E16" s="713"/>
      <c r="F16" s="713" t="str">
        <f>'Proxy Group Risk Measures'!E29</f>
        <v>BBB+</v>
      </c>
      <c r="G16" s="713"/>
      <c r="H16" s="713">
        <f>'Proxy Group Risk Measures'!K29</f>
        <v>2</v>
      </c>
      <c r="I16" s="713"/>
      <c r="J16" s="713" t="str">
        <f>'Proxy Group Risk Measures'!M29</f>
        <v>A</v>
      </c>
      <c r="K16" s="713"/>
      <c r="L16" s="717">
        <f>'Proxy Group Risk Measures'!P29</f>
        <v>0.7975000000000001</v>
      </c>
    </row>
    <row r="17" spans="2:12">
      <c r="B17" s="712" t="str">
        <f>B6</f>
        <v>Kentucky Power</v>
      </c>
      <c r="C17" s="712"/>
      <c r="D17" s="713" t="str">
        <f>D6</f>
        <v>Baa3</v>
      </c>
      <c r="E17" s="713"/>
      <c r="F17" s="713" t="str">
        <f>F6</f>
        <v>BBB</v>
      </c>
      <c r="G17" s="713"/>
      <c r="H17" s="713">
        <f>H6</f>
        <v>1</v>
      </c>
      <c r="I17" s="713"/>
      <c r="J17" s="713" t="str">
        <f>J6</f>
        <v>A</v>
      </c>
      <c r="K17" s="713"/>
      <c r="L17" s="717">
        <f>L6</f>
        <v>0.7</v>
      </c>
    </row>
    <row r="18" spans="2:12" ht="5.15" customHeight="1">
      <c r="B18" s="712"/>
      <c r="C18" s="712"/>
      <c r="D18" s="713"/>
      <c r="E18" s="713"/>
      <c r="F18" s="713"/>
      <c r="G18" s="713"/>
      <c r="H18" s="713"/>
      <c r="I18" s="713"/>
      <c r="J18" s="716"/>
      <c r="K18" s="713"/>
      <c r="L18" s="717"/>
    </row>
    <row r="19" spans="2:12" s="5" customFormat="1" ht="25.5" customHeight="1">
      <c r="B19" s="1424" t="s">
        <v>1894</v>
      </c>
      <c r="C19" s="1424"/>
      <c r="D19" s="1424"/>
      <c r="E19" s="1424"/>
      <c r="F19" s="1424"/>
      <c r="G19" s="1424"/>
      <c r="H19" s="1424"/>
      <c r="I19" s="1424"/>
      <c r="J19" s="1424"/>
      <c r="K19" s="1424"/>
      <c r="L19" s="1424"/>
    </row>
    <row r="20" spans="2:12">
      <c r="D20" s="12"/>
      <c r="E20" s="12"/>
      <c r="F20" s="12"/>
      <c r="G20" s="12"/>
      <c r="H20" s="12"/>
      <c r="I20" s="12"/>
      <c r="J20" s="12"/>
      <c r="K20" s="12"/>
      <c r="L20" s="12"/>
    </row>
    <row r="21" spans="2:12">
      <c r="D21" s="12"/>
      <c r="E21" s="12"/>
      <c r="G21" s="12"/>
      <c r="H21" s="12"/>
      <c r="I21" s="12"/>
      <c r="J21" s="12"/>
      <c r="K21" s="12"/>
      <c r="L21" s="12"/>
    </row>
    <row r="22" spans="2:12">
      <c r="D22" s="12"/>
      <c r="E22" s="12"/>
      <c r="G22" s="12"/>
      <c r="H22" s="12"/>
      <c r="I22" s="12"/>
      <c r="J22" s="12"/>
      <c r="K22" s="12"/>
      <c r="L22" s="12"/>
    </row>
    <row r="23" spans="2:12" ht="3" customHeight="1">
      <c r="D23" s="12"/>
      <c r="E23" s="12"/>
      <c r="G23" s="12"/>
      <c r="H23" s="12"/>
      <c r="I23" s="12"/>
      <c r="J23" s="12"/>
      <c r="K23" s="12"/>
      <c r="L23" s="12"/>
    </row>
    <row r="24" spans="2:12">
      <c r="D24" s="12"/>
      <c r="E24" s="12"/>
      <c r="G24" s="12"/>
      <c r="H24" s="12"/>
      <c r="I24" s="12"/>
      <c r="J24" s="12"/>
      <c r="K24" s="12"/>
      <c r="L24" s="12"/>
    </row>
    <row r="25" spans="2:12" ht="4.1500000000000004" customHeight="1">
      <c r="D25" s="1423"/>
      <c r="E25" s="1423"/>
      <c r="F25" s="1423"/>
      <c r="G25" s="12"/>
      <c r="H25" s="1423"/>
      <c r="I25" s="1423"/>
      <c r="J25" s="1423"/>
      <c r="K25" s="12"/>
      <c r="L25" s="12"/>
    </row>
    <row r="26" spans="2:12" s="2" customFormat="1" ht="14.25" customHeight="1">
      <c r="B26" s="1"/>
      <c r="C26" s="1"/>
      <c r="D26" s="12"/>
      <c r="E26" s="59"/>
      <c r="F26" s="19"/>
      <c r="G26" s="12"/>
      <c r="H26" s="12"/>
      <c r="I26" s="59"/>
      <c r="J26" s="19"/>
      <c r="K26" s="12"/>
      <c r="L26" s="59"/>
    </row>
    <row r="27" spans="2:12" ht="4.1500000000000004" customHeight="1">
      <c r="D27" s="1422"/>
      <c r="E27" s="1422"/>
      <c r="F27" s="1422"/>
      <c r="G27" s="19"/>
      <c r="H27" s="1422"/>
      <c r="I27" s="1422"/>
      <c r="J27" s="1422"/>
      <c r="K27" s="19"/>
      <c r="L27" s="175"/>
    </row>
  </sheetData>
  <mergeCells count="9">
    <mergeCell ref="H2:L2"/>
    <mergeCell ref="H12:L12"/>
    <mergeCell ref="H27:J27"/>
    <mergeCell ref="D25:F25"/>
    <mergeCell ref="H25:J25"/>
    <mergeCell ref="D27:F27"/>
    <mergeCell ref="B19:L19"/>
    <mergeCell ref="D3:F3"/>
    <mergeCell ref="D13:F13"/>
  </mergeCells>
  <printOptions horizontalCentered="1"/>
  <pageMargins left="0.5" right="0.5" top="0.75" bottom="0.25" header="0" footer="0"/>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01BAE-B44F-4EB6-B12C-774046AB6244}">
  <dimension ref="A1:U29"/>
  <sheetViews>
    <sheetView showGridLines="0" zoomScale="90" zoomScaleNormal="90" workbookViewId="0"/>
  </sheetViews>
  <sheetFormatPr defaultRowHeight="14.5"/>
  <cols>
    <col min="1" max="2" width="8.7265625" style="1299"/>
    <col min="3" max="4" width="15.26953125" style="1299" customWidth="1"/>
    <col min="5" max="19" width="8.54296875" style="1299" customWidth="1"/>
    <col min="20" max="16384" width="8.7265625" style="1299"/>
  </cols>
  <sheetData>
    <row r="1" spans="1:4" ht="33" customHeight="1">
      <c r="B1" s="1300" t="s">
        <v>135</v>
      </c>
      <c r="C1" s="1300" t="s">
        <v>1927</v>
      </c>
      <c r="D1" s="1300" t="s">
        <v>1928</v>
      </c>
    </row>
    <row r="2" spans="1:4">
      <c r="B2" s="1299">
        <v>2016</v>
      </c>
      <c r="C2" s="1301">
        <v>7.4899999999999994E-2</v>
      </c>
      <c r="D2" s="1302">
        <v>9.8000000000000004E-2</v>
      </c>
    </row>
    <row r="3" spans="1:4">
      <c r="B3" s="1299">
        <f>B2+1</f>
        <v>2017</v>
      </c>
      <c r="C3" s="1301">
        <v>6.6699999999999995E-2</v>
      </c>
      <c r="D3" s="1302">
        <v>9.8000000000000004E-2</v>
      </c>
    </row>
    <row r="4" spans="1:4">
      <c r="B4" s="1299">
        <f t="shared" ref="B4:B11" si="0">B3+1</f>
        <v>2018</v>
      </c>
      <c r="C4" s="1301">
        <v>8.9300000000000004E-2</v>
      </c>
      <c r="D4" s="1302">
        <v>9.7500000000000003E-2</v>
      </c>
    </row>
    <row r="5" spans="1:4">
      <c r="B5" s="1299">
        <f t="shared" si="0"/>
        <v>2019</v>
      </c>
      <c r="C5" s="1301">
        <v>7.3700000000000002E-2</v>
      </c>
      <c r="D5" s="1302">
        <v>9.7500000000000003E-2</v>
      </c>
    </row>
    <row r="6" spans="1:4">
      <c r="B6" s="1299">
        <f t="shared" si="0"/>
        <v>2020</v>
      </c>
      <c r="C6" s="1301">
        <v>5.5E-2</v>
      </c>
      <c r="D6" s="1302">
        <v>9.7500000000000003E-2</v>
      </c>
    </row>
    <row r="7" spans="1:4">
      <c r="B7" s="1299">
        <f t="shared" si="0"/>
        <v>2021</v>
      </c>
      <c r="C7" s="1301">
        <v>6.2399999999999997E-2</v>
      </c>
      <c r="D7" s="1302">
        <v>9.2999999999999999E-2</v>
      </c>
    </row>
    <row r="8" spans="1:4">
      <c r="A8" s="1303"/>
      <c r="B8" s="1299">
        <f t="shared" si="0"/>
        <v>2022</v>
      </c>
      <c r="C8" s="1301">
        <v>5.3499999999999999E-2</v>
      </c>
      <c r="D8" s="1302">
        <v>9.2999999999999999E-2</v>
      </c>
    </row>
    <row r="9" spans="1:4">
      <c r="B9" s="1299">
        <f t="shared" si="0"/>
        <v>2023</v>
      </c>
      <c r="C9" s="1301">
        <v>3.7199999999999997E-2</v>
      </c>
      <c r="D9" s="1302">
        <v>9.2999999999999999E-2</v>
      </c>
    </row>
    <row r="10" spans="1:4">
      <c r="B10" s="1299">
        <f t="shared" si="0"/>
        <v>2024</v>
      </c>
      <c r="C10" s="1301">
        <v>4.4400000000000002E-2</v>
      </c>
      <c r="D10" s="1302">
        <v>9.7500000000000003E-2</v>
      </c>
    </row>
    <row r="11" spans="1:4">
      <c r="B11" s="1299">
        <f t="shared" si="0"/>
        <v>2025</v>
      </c>
      <c r="C11" s="1301">
        <v>4.4299999999999999E-2</v>
      </c>
      <c r="D11" s="1302">
        <v>9.7500000000000003E-2</v>
      </c>
    </row>
    <row r="13" spans="1:4">
      <c r="B13" s="1304" t="s">
        <v>1929</v>
      </c>
    </row>
    <row r="25" spans="4:21">
      <c r="D25" s="1305"/>
      <c r="E25" s="1305"/>
      <c r="F25" s="1305"/>
      <c r="G25" s="1305"/>
      <c r="H25" s="1305"/>
      <c r="I25" s="1305"/>
      <c r="J25" s="1305"/>
      <c r="K25" s="1305"/>
      <c r="L25" s="1305"/>
      <c r="M25" s="1305"/>
      <c r="N25" s="1305"/>
      <c r="O25" s="1305"/>
      <c r="P25" s="1305"/>
      <c r="Q25" s="1305"/>
      <c r="R25" s="1305"/>
      <c r="S25" s="1305"/>
      <c r="T25" s="1305"/>
      <c r="U25" s="1305"/>
    </row>
    <row r="26" spans="4:21">
      <c r="D26" s="1306"/>
      <c r="E26" s="1306"/>
      <c r="F26" s="1306"/>
      <c r="G26" s="1306"/>
      <c r="H26" s="1306"/>
      <c r="I26" s="1306"/>
      <c r="J26" s="1306"/>
      <c r="K26" s="1306"/>
      <c r="L26" s="1306"/>
      <c r="M26" s="1306"/>
      <c r="N26" s="1306"/>
      <c r="O26" s="1306"/>
      <c r="P26" s="1306"/>
      <c r="Q26" s="1306"/>
      <c r="R26" s="1306"/>
      <c r="S26" s="1306"/>
      <c r="T26" s="1306"/>
      <c r="U26" s="1301"/>
    </row>
    <row r="28" spans="4:21">
      <c r="D28" s="1306"/>
      <c r="E28" s="1306"/>
      <c r="F28" s="1306"/>
      <c r="G28" s="1306"/>
      <c r="H28" s="1306"/>
      <c r="I28" s="1306"/>
      <c r="J28" s="1306"/>
      <c r="K28" s="1306"/>
      <c r="L28" s="1306"/>
      <c r="M28" s="1306"/>
      <c r="N28" s="1306"/>
      <c r="O28" s="1306"/>
      <c r="P28" s="1306"/>
      <c r="Q28" s="1306"/>
      <c r="R28" s="1306"/>
      <c r="S28" s="1306"/>
      <c r="T28" s="1306"/>
      <c r="U28" s="1306"/>
    </row>
    <row r="29" spans="4:21">
      <c r="D29" s="1306"/>
      <c r="E29" s="1306"/>
      <c r="F29" s="1306"/>
      <c r="G29" s="1306"/>
      <c r="H29" s="1306"/>
      <c r="I29" s="1306"/>
      <c r="J29" s="1306"/>
      <c r="K29" s="1306"/>
      <c r="L29" s="1306"/>
      <c r="M29" s="1306"/>
      <c r="N29" s="1306"/>
      <c r="O29" s="1306"/>
      <c r="P29" s="1306"/>
      <c r="Q29" s="1306"/>
      <c r="R29" s="1306"/>
      <c r="S29" s="1306"/>
      <c r="T29" s="1306"/>
      <c r="U29" s="1306"/>
    </row>
  </sheetData>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44E21-1F2B-4F0E-8978-7808ABC28D55}">
  <dimension ref="A1:O17"/>
  <sheetViews>
    <sheetView showGridLines="0" workbookViewId="0">
      <selection activeCell="E27" sqref="E27"/>
    </sheetView>
  </sheetViews>
  <sheetFormatPr defaultColWidth="8.81640625" defaultRowHeight="15.5"/>
  <cols>
    <col min="1" max="1" width="1.1796875" style="746" customWidth="1"/>
    <col min="2" max="2" width="9.54296875" style="746" customWidth="1"/>
    <col min="3" max="3" width="8.81640625" style="746" customWidth="1"/>
    <col min="4" max="4" width="3.453125" style="746" customWidth="1"/>
    <col min="5" max="5" width="8.81640625" style="746" customWidth="1"/>
    <col min="6" max="6" width="1.54296875" style="746" customWidth="1"/>
    <col min="7" max="7" width="9.7265625" style="746" customWidth="1"/>
    <col min="8" max="8" width="5.26953125" style="746" customWidth="1"/>
    <col min="9" max="9" width="9.54296875" style="746" customWidth="1"/>
    <col min="10" max="10" width="8.81640625" style="746" customWidth="1"/>
    <col min="11" max="11" width="3.453125" style="746" customWidth="1"/>
    <col min="12" max="12" width="8.81640625" style="746" customWidth="1"/>
    <col min="13" max="13" width="1.54296875" style="746" customWidth="1"/>
    <col min="14" max="14" width="9.7265625" style="746" customWidth="1"/>
    <col min="15" max="15" width="1.54296875" style="746" customWidth="1"/>
    <col min="16" max="16384" width="8.81640625" style="746"/>
  </cols>
  <sheetData>
    <row r="1" spans="1:15">
      <c r="C1" s="1425" t="s">
        <v>1600</v>
      </c>
      <c r="D1" s="1425"/>
      <c r="E1" s="1425"/>
      <c r="F1" s="1425"/>
      <c r="G1" s="1425"/>
      <c r="H1" s="748"/>
      <c r="J1" s="1425" t="s">
        <v>0</v>
      </c>
      <c r="K1" s="1425"/>
      <c r="L1" s="1425"/>
      <c r="M1" s="1425"/>
      <c r="N1" s="1425"/>
    </row>
    <row r="2" spans="1:15">
      <c r="C2" s="748"/>
      <c r="D2" s="748"/>
      <c r="E2" s="748"/>
      <c r="F2" s="748"/>
      <c r="G2" s="748"/>
      <c r="H2" s="748"/>
      <c r="J2" s="748"/>
      <c r="K2" s="748"/>
      <c r="L2" s="748"/>
      <c r="M2" s="748"/>
      <c r="N2" s="748"/>
    </row>
    <row r="3" spans="1:15">
      <c r="C3" s="747" t="s">
        <v>280</v>
      </c>
      <c r="D3" s="747"/>
      <c r="E3" s="747" t="s">
        <v>279</v>
      </c>
      <c r="F3" s="747"/>
      <c r="G3" s="747" t="s">
        <v>47</v>
      </c>
      <c r="H3" s="748"/>
      <c r="J3" s="747" t="s">
        <v>280</v>
      </c>
      <c r="K3" s="747"/>
      <c r="L3" s="747" t="s">
        <v>279</v>
      </c>
      <c r="M3" s="747"/>
      <c r="N3" s="747" t="s">
        <v>47</v>
      </c>
    </row>
    <row r="4" spans="1:15">
      <c r="B4" s="749" t="s">
        <v>1601</v>
      </c>
      <c r="C4" s="750">
        <f>MIN('Figure 6-2023 WP'!H19:H25)/100</f>
        <v>0.49</v>
      </c>
      <c r="D4" s="751" t="s">
        <v>127</v>
      </c>
      <c r="E4" s="750">
        <f>AVERAGE('Figure 6-2023 WP'!H19:H25)/100</f>
        <v>0.50962000000000007</v>
      </c>
      <c r="F4" s="752"/>
      <c r="G4" s="750">
        <f>AVERAGE('Figure 6-2023 WP'!H19:H25)/100</f>
        <v>0.50962000000000007</v>
      </c>
      <c r="H4" s="752"/>
      <c r="I4" s="749" t="s">
        <v>1601</v>
      </c>
      <c r="J4" s="750">
        <f>MIN('Figure 6-2023 WP'!H90:H95)/100</f>
        <v>0.5</v>
      </c>
      <c r="K4" s="751" t="s">
        <v>127</v>
      </c>
      <c r="L4" s="750">
        <f>AVERAGE('Figure 6-2023 WP'!H90:H95)/100</f>
        <v>0.56733333333333325</v>
      </c>
      <c r="M4" s="752"/>
      <c r="N4" s="750">
        <f>AVERAGE('Figure 6-2023 WP'!H90:H95)/100</f>
        <v>0.56733333333333325</v>
      </c>
    </row>
    <row r="5" spans="1:15">
      <c r="B5" s="749" t="s">
        <v>1602</v>
      </c>
      <c r="C5" s="750">
        <f>MIN('Figure 6-2023 WP'!H28:H40)/100</f>
        <v>0.48</v>
      </c>
      <c r="D5" s="751" t="s">
        <v>127</v>
      </c>
      <c r="E5" s="750">
        <f>AVERAGE('Figure 6-2023 WP'!H28:H40)/100</f>
        <v>0.52248181818181816</v>
      </c>
      <c r="F5" s="752"/>
      <c r="G5" s="750">
        <f>AVERAGE('Figure 6-2023 WP'!H28:H40)/100</f>
        <v>0.52248181818181816</v>
      </c>
      <c r="H5" s="752"/>
      <c r="I5" s="749" t="s">
        <v>1602</v>
      </c>
      <c r="J5" s="750">
        <f>MIN('Figure 6-2023 WP'!H98:H107)/100</f>
        <v>0.48</v>
      </c>
      <c r="K5" s="751" t="s">
        <v>127</v>
      </c>
      <c r="L5" s="750">
        <f>AVERAGE('Figure 6-2023 WP'!H98:H107)/100</f>
        <v>0.51197499999999996</v>
      </c>
      <c r="M5" s="752"/>
      <c r="N5" s="750">
        <f>AVERAGE('Figure 6-2023 WP'!H98:H107)/100</f>
        <v>0.51197499999999996</v>
      </c>
    </row>
    <row r="6" spans="1:15">
      <c r="B6" s="749" t="s">
        <v>1603</v>
      </c>
      <c r="C6" s="750">
        <f>MIN('Figure 6-2023 WP'!H43:H59,'Figure 6-2023 WP'!H61:H73)/100</f>
        <v>0.48</v>
      </c>
      <c r="D6" s="751" t="s">
        <v>127</v>
      </c>
      <c r="E6" s="750">
        <f>AVERAGE('Figure 6-2023 WP'!H43:H59,'Figure 6-2023 WP'!H61:H73)/100</f>
        <v>0.5151318181818183</v>
      </c>
      <c r="F6" s="752"/>
      <c r="G6" s="750">
        <f>AVERAGE('Figure 6-2023 WP'!H43:H59,'Figure 6-2023 WP'!H61:H73)/100</f>
        <v>0.5151318181818183</v>
      </c>
      <c r="H6" s="752"/>
      <c r="I6" s="749" t="s">
        <v>1603</v>
      </c>
      <c r="J6" s="750">
        <f>MIN('Figure 6-2023 WP'!H110:H137)/100</f>
        <v>0.48</v>
      </c>
      <c r="K6" s="751" t="s">
        <v>127</v>
      </c>
      <c r="L6" s="750">
        <f>AVERAGE('Figure 6-2023 WP'!H110:H137)/100</f>
        <v>0.51313333333333333</v>
      </c>
      <c r="M6" s="752"/>
      <c r="N6" s="750">
        <f>AVERAGE('Figure 6-2023 WP'!H110:H137)/100</f>
        <v>0.51313333333333333</v>
      </c>
    </row>
    <row r="7" spans="1:15">
      <c r="B7" s="749" t="s">
        <v>1604</v>
      </c>
      <c r="C7" s="753">
        <f>MIN('Figure 6-2024 WP'!$I$6:$I$11,'Figure 6-2024 WP'!$I$13,'Figure 6-2024 WP'!$I$15:$I$16)/100</f>
        <v>0.41249999999999998</v>
      </c>
      <c r="D7" s="754" t="s">
        <v>127</v>
      </c>
      <c r="E7" s="753">
        <f>AVERAGE('Figure 6-2024 WP'!$I$6:$I$11,'Figure 6-2024 WP'!$I$13,'Figure 6-2024 WP'!$I$15:$I$16)/100</f>
        <v>0.49682000000000004</v>
      </c>
      <c r="F7" s="755"/>
      <c r="G7" s="753">
        <f>AVERAGE('Figure 6-2024 WP'!$I$6:$I$11,'Figure 6-2024 WP'!$I$13,'Figure 6-2024 WP'!$I$15:$I$16)/100</f>
        <v>0.49682000000000004</v>
      </c>
      <c r="H7" s="755"/>
      <c r="I7" s="749" t="s">
        <v>1604</v>
      </c>
      <c r="J7" s="753">
        <f>MIN('Figure 6-2024 WP'!$I$77:$I$80)/100</f>
        <v>0.50869999999999993</v>
      </c>
      <c r="K7" s="754" t="s">
        <v>127</v>
      </c>
      <c r="L7" s="753">
        <f>MAX('Figure 6-2024 WP'!$I$77:$I$80)/100</f>
        <v>0.5907</v>
      </c>
      <c r="M7" s="755"/>
      <c r="N7" s="753">
        <f>AVERAGE('Figure 6-2024 WP'!$I$77:$I$80)/100</f>
        <v>0.53110000000000002</v>
      </c>
    </row>
    <row r="8" spans="1:15">
      <c r="B8" s="749" t="s">
        <v>1605</v>
      </c>
      <c r="C8" s="753">
        <f>MIN('Figure 6-2024 WP'!$I$19:$I$26)/100</f>
        <v>0.44359999999999999</v>
      </c>
      <c r="D8" s="754" t="s">
        <v>127</v>
      </c>
      <c r="E8" s="753">
        <f>MAX('Figure 6-2024 WP'!$I$19:$I$26)/100</f>
        <v>0.52259999999999995</v>
      </c>
      <c r="F8" s="755"/>
      <c r="G8" s="753">
        <f>AVERAGE('Figure 6-2024 WP'!$I$19:$I$26)/100</f>
        <v>0.49766000000000005</v>
      </c>
      <c r="H8" s="755"/>
      <c r="I8" s="749" t="s">
        <v>1605</v>
      </c>
      <c r="J8" s="753">
        <f>MIN('Figure 6-2024 WP'!$I$83:$I$88)/100</f>
        <v>0.5</v>
      </c>
      <c r="K8" s="754" t="s">
        <v>127</v>
      </c>
      <c r="L8" s="753">
        <f>MAX('Figure 6-2024 WP'!$I$83:$I$88)/100</f>
        <v>0.60609999999999997</v>
      </c>
      <c r="M8" s="755"/>
      <c r="N8" s="753">
        <f>AVERAGE('Figure 6-2024 WP'!$I$83:$I$88)/100</f>
        <v>0.53066666666666673</v>
      </c>
    </row>
    <row r="9" spans="1:15">
      <c r="B9" s="749" t="s">
        <v>1606</v>
      </c>
      <c r="C9" s="753">
        <f>MIN('Figure 6-2024 WP'!$I$30:$I$40)/100</f>
        <v>0.45569999999999999</v>
      </c>
      <c r="D9" s="754" t="s">
        <v>127</v>
      </c>
      <c r="E9" s="753">
        <f>MAX('Figure 6-2024 WP'!$I$30:$I$40)/100</f>
        <v>0.52829999999999999</v>
      </c>
      <c r="F9" s="755"/>
      <c r="G9" s="753">
        <f>AVERAGE('Figure 6-2024 WP'!$I$30:$I$40)/100</f>
        <v>0.50264999999999993</v>
      </c>
      <c r="H9" s="755"/>
      <c r="I9" s="749" t="s">
        <v>1606</v>
      </c>
      <c r="J9" s="753">
        <f>MIN('Figure 6-2024 WP'!$I$91:$I$106)/100</f>
        <v>0.48</v>
      </c>
      <c r="K9" s="754" t="s">
        <v>127</v>
      </c>
      <c r="L9" s="753">
        <f>MAX('Figure 6-2024 WP'!$I$91:$I$106)/100</f>
        <v>0.62380000000000002</v>
      </c>
      <c r="M9" s="755"/>
      <c r="N9" s="753">
        <f>AVERAGE('Figure 6-2024 WP'!$I$91:$I$106)/100</f>
        <v>0.51488888888888884</v>
      </c>
    </row>
    <row r="10" spans="1:15">
      <c r="B10" s="749" t="s">
        <v>1607</v>
      </c>
      <c r="C10" s="753">
        <f>MIN('Figure 6-2024 WP'!$I$43:$I$60,'Figure 6-2024 WP'!$I$62:$I$69)/100</f>
        <v>0.42499999999999999</v>
      </c>
      <c r="D10" s="754" t="s">
        <v>127</v>
      </c>
      <c r="E10" s="753">
        <f>MAX('Figure 6-2024 WP'!$I$43:$I$60,'Figure 6-2024 WP'!$I$62:$I$69)/100</f>
        <v>0.56540000000000001</v>
      </c>
      <c r="F10" s="755"/>
      <c r="G10" s="753">
        <f>AVERAGE('Figure 6-2024 WP'!$I$43:$I$60,'Figure 6-2024 WP'!$I$62:$I$69)/100</f>
        <v>0.51287499999999997</v>
      </c>
      <c r="H10" s="755"/>
      <c r="I10" s="749" t="s">
        <v>1607</v>
      </c>
      <c r="J10" s="753">
        <f>MIN('Figure 6-2024 WP'!$I$110:$I$118,'Figure 6-2024 WP'!$I$120:$I$127,'Figure 6-2024 WP'!$I$129:$I$140)/100</f>
        <v>0.45299999999999996</v>
      </c>
      <c r="K10" s="754" t="s">
        <v>127</v>
      </c>
      <c r="L10" s="753">
        <f>MAX('Figure 6-2024 WP'!$I$110:$I$118,'Figure 6-2024 WP'!$I$120:$I$127,'Figure 6-2024 WP'!$I$129:$I$140)/100</f>
        <v>0.83180000000000009</v>
      </c>
      <c r="M10" s="755"/>
      <c r="N10" s="753">
        <f>AVERAGE('Figure 6-2024 WP'!$I$110:$I$118,'Figure 6-2024 WP'!$I$120:$I$127,'Figure 6-2024 WP'!$I$129:$I$140)/100</f>
        <v>0.54297777777777778</v>
      </c>
    </row>
    <row r="11" spans="1:15">
      <c r="B11" s="749" t="s">
        <v>1608</v>
      </c>
      <c r="C11" s="756">
        <f>MIN('Figure 6-2025 WP'!I6:I9,'Figure 6-2025 WP'!I11:I14,'Figure 6-2025 WP'!I16,'Figure 6-2025 WP'!I18:I23)/100</f>
        <v>0.41729999999999995</v>
      </c>
      <c r="D11" s="757" t="s">
        <v>127</v>
      </c>
      <c r="E11" s="756">
        <f>MAX('Figure 6-2025 WP'!I6:I9,'Figure 6-2025 WP'!I11:I14,'Figure 6-2025 WP'!I16,'Figure 6-2025 WP'!I18:I23)/100</f>
        <v>0.56999999999999995</v>
      </c>
      <c r="F11" s="758"/>
      <c r="G11" s="756">
        <f>AVERAGE('Figure 6-2025 WP'!I6:I9,'Figure 6-2025 WP'!I11:I14,'Figure 6-2025 WP'!I16,'Figure 6-2025 WP'!I18:I23)/100</f>
        <v>0.48275384615384614</v>
      </c>
      <c r="H11" s="755"/>
      <c r="I11" s="749" t="s">
        <v>1608</v>
      </c>
      <c r="J11" s="756">
        <f>MIN('Figure 6-2025 WP'!I31:I32,'Figure 6-2025 WP'!I35:I37,'Figure 6-2025 WP'!I39)/100</f>
        <v>0.48</v>
      </c>
      <c r="K11" s="757" t="s">
        <v>127</v>
      </c>
      <c r="L11" s="756">
        <f>MAX('Figure 6-2025 WP'!I31:I32,'Figure 6-2025 WP'!I35:I37,'Figure 6-2025 WP'!I39)/100</f>
        <v>0.52500000000000002</v>
      </c>
      <c r="M11" s="758"/>
      <c r="N11" s="756">
        <f>AVERAGE('Figure 6-2025 WP'!I31:I32,'Figure 6-2025 WP'!I35:I37,'Figure 6-2025 WP'!I39)/100</f>
        <v>0.5013333333333333</v>
      </c>
    </row>
    <row r="12" spans="1:15" ht="17.149999999999999" customHeight="1">
      <c r="B12" s="749" t="s">
        <v>47</v>
      </c>
      <c r="C12" s="759">
        <f>AVERAGE(C4:C11)</f>
        <v>0.45051249999999998</v>
      </c>
      <c r="D12" s="751" t="s">
        <v>127</v>
      </c>
      <c r="E12" s="759">
        <f>AVERAGE(E4:E11)</f>
        <v>0.52879420454545445</v>
      </c>
      <c r="F12" s="760"/>
      <c r="G12" s="759">
        <f>AVERAGE(G4:G11)</f>
        <v>0.50499906031468533</v>
      </c>
      <c r="H12" s="760"/>
      <c r="I12" s="749" t="s">
        <v>47</v>
      </c>
      <c r="J12" s="759">
        <f>AVERAGE(J4:J11)</f>
        <v>0.48521249999999999</v>
      </c>
      <c r="K12" s="751" t="s">
        <v>127</v>
      </c>
      <c r="L12" s="759">
        <f>AVERAGE(L4:L11)</f>
        <v>0.5962302083333334</v>
      </c>
      <c r="M12" s="760"/>
      <c r="N12" s="759">
        <f>AVERAGE(N4:N11)</f>
        <v>0.52667604166666659</v>
      </c>
    </row>
    <row r="13" spans="1:15">
      <c r="C13" s="761"/>
      <c r="D13" s="762"/>
      <c r="E13" s="761"/>
      <c r="J13" s="761"/>
      <c r="K13" s="762"/>
      <c r="L13" s="761"/>
    </row>
    <row r="14" spans="1:15" s="764" customFormat="1" ht="13.4" customHeight="1">
      <c r="A14" s="1426" t="s">
        <v>1609</v>
      </c>
      <c r="B14" s="1426"/>
      <c r="C14" s="1426"/>
      <c r="D14" s="1426"/>
      <c r="E14" s="1426"/>
      <c r="F14" s="1426"/>
      <c r="G14" s="1426"/>
      <c r="H14" s="763"/>
      <c r="I14" s="1426" t="s">
        <v>1609</v>
      </c>
      <c r="J14" s="1426"/>
      <c r="K14" s="1426"/>
      <c r="L14" s="1426"/>
      <c r="M14" s="1426"/>
      <c r="N14" s="1426"/>
      <c r="O14" s="1426"/>
    </row>
    <row r="15" spans="1:15" s="764" customFormat="1" ht="13">
      <c r="A15" s="1426"/>
      <c r="B15" s="1426"/>
      <c r="C15" s="1426"/>
      <c r="D15" s="1426"/>
      <c r="E15" s="1426"/>
      <c r="F15" s="1426"/>
      <c r="G15" s="1426"/>
      <c r="H15" s="763"/>
      <c r="I15" s="1426"/>
      <c r="J15" s="1426"/>
      <c r="K15" s="1426"/>
      <c r="L15" s="1426"/>
      <c r="M15" s="1426"/>
      <c r="N15" s="1426"/>
      <c r="O15" s="1426"/>
    </row>
    <row r="16" spans="1:15" s="764" customFormat="1" ht="13">
      <c r="A16" s="1426"/>
      <c r="B16" s="1426"/>
      <c r="C16" s="1426"/>
      <c r="D16" s="1426"/>
      <c r="E16" s="1426"/>
      <c r="F16" s="1426"/>
      <c r="G16" s="1426"/>
      <c r="I16" s="1426"/>
      <c r="J16" s="1426"/>
      <c r="K16" s="1426"/>
      <c r="L16" s="1426"/>
      <c r="M16" s="1426"/>
      <c r="N16" s="1426"/>
      <c r="O16" s="1426"/>
    </row>
    <row r="17" spans="1:15" s="764" customFormat="1" ht="13">
      <c r="A17" s="1426"/>
      <c r="B17" s="1426"/>
      <c r="C17" s="1426"/>
      <c r="D17" s="1426"/>
      <c r="E17" s="1426"/>
      <c r="F17" s="1426"/>
      <c r="G17" s="1426"/>
      <c r="I17" s="1426"/>
      <c r="J17" s="1426"/>
      <c r="K17" s="1426"/>
      <c r="L17" s="1426"/>
      <c r="M17" s="1426"/>
      <c r="N17" s="1426"/>
      <c r="O17" s="1426"/>
    </row>
  </sheetData>
  <mergeCells count="4">
    <mergeCell ref="C1:G1"/>
    <mergeCell ref="J1:N1"/>
    <mergeCell ref="A14:G17"/>
    <mergeCell ref="I14:O1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790FA-607F-436D-A1D9-428E3335D418}">
  <sheetPr>
    <pageSetUpPr fitToPage="1"/>
  </sheetPr>
  <dimension ref="A2:AT153"/>
  <sheetViews>
    <sheetView showGridLines="0" defaultGridColor="0" colorId="22" zoomScaleNormal="100" workbookViewId="0">
      <pane ySplit="3" topLeftCell="A4" activePane="bottomLeft" state="frozen"/>
      <selection activeCell="B1" sqref="B1"/>
      <selection pane="bottomLeft" activeCell="A38" sqref="A38:XFD38"/>
    </sheetView>
  </sheetViews>
  <sheetFormatPr defaultColWidth="9.1796875" defaultRowHeight="11.25" customHeight="1"/>
  <cols>
    <col min="1" max="1" width="4.1796875" style="806" customWidth="1"/>
    <col min="2" max="2" width="9.1796875" style="806" customWidth="1"/>
    <col min="3" max="3" width="1.54296875" style="806" customWidth="1"/>
    <col min="4" max="4" width="33.1796875" style="806" customWidth="1"/>
    <col min="5" max="5" width="6.81640625" style="806" customWidth="1"/>
    <col min="6" max="6" width="5" style="806" bestFit="1" customWidth="1"/>
    <col min="7" max="8" width="9.1796875" style="806"/>
    <col min="9" max="9" width="13.54296875" style="806" customWidth="1"/>
    <col min="10" max="11" width="9.81640625" style="806" customWidth="1"/>
    <col min="12" max="12" width="12.1796875" style="806" customWidth="1"/>
    <col min="13" max="13" width="10" style="806" customWidth="1"/>
    <col min="14" max="15" width="10" style="770" customWidth="1"/>
    <col min="16" max="16" width="10" style="771" customWidth="1"/>
    <col min="17" max="17" width="10" style="769" customWidth="1"/>
    <col min="18" max="18" width="4" style="769" customWidth="1"/>
    <col min="19" max="19" width="7.81640625" style="813" customWidth="1"/>
    <col min="20" max="22" width="10" style="769" customWidth="1"/>
    <col min="23" max="23" width="3.453125" style="769" customWidth="1"/>
    <col min="24" max="24" width="9.1796875" style="769"/>
    <col min="25" max="25" width="9.81640625" style="768" customWidth="1"/>
    <col min="26" max="46" width="9.1796875" style="769"/>
    <col min="47" max="16384" width="9.1796875" style="806"/>
  </cols>
  <sheetData>
    <row r="2" spans="2:27" s="769" customFormat="1" ht="35.15" customHeight="1">
      <c r="B2" s="765"/>
      <c r="C2" s="766"/>
      <c r="D2" s="767"/>
      <c r="E2" s="767"/>
      <c r="F2" s="768"/>
      <c r="G2" s="768"/>
      <c r="I2" s="768"/>
      <c r="J2" s="768"/>
      <c r="K2" s="768"/>
      <c r="L2" s="768"/>
      <c r="M2" s="768"/>
      <c r="N2" s="770"/>
      <c r="O2" s="770"/>
      <c r="P2" s="771"/>
      <c r="Q2" s="768"/>
      <c r="R2" s="768"/>
      <c r="S2" s="771"/>
      <c r="U2" s="768"/>
      <c r="V2" s="768"/>
      <c r="Y2" s="768"/>
    </row>
    <row r="3" spans="2:27" s="769" customFormat="1" ht="42.75" customHeight="1">
      <c r="B3" s="772" t="s">
        <v>1610</v>
      </c>
      <c r="C3" s="773"/>
      <c r="D3" s="773"/>
      <c r="E3" s="773"/>
      <c r="F3" s="773"/>
      <c r="G3" s="773"/>
      <c r="H3" s="773"/>
      <c r="I3" s="768"/>
      <c r="J3" s="768"/>
      <c r="K3" s="768"/>
      <c r="L3" s="768"/>
      <c r="M3" s="768"/>
      <c r="N3" s="770"/>
      <c r="O3" s="770"/>
      <c r="P3" s="771"/>
      <c r="Q3" s="768"/>
      <c r="R3" s="768"/>
      <c r="S3" s="771"/>
      <c r="U3" s="768"/>
      <c r="V3" s="768"/>
      <c r="Y3" s="768"/>
    </row>
    <row r="4" spans="2:27" s="790" customFormat="1" ht="13">
      <c r="B4" s="774" t="s">
        <v>1611</v>
      </c>
      <c r="C4" s="775"/>
      <c r="D4" s="776"/>
      <c r="E4" s="777"/>
      <c r="F4" s="778"/>
      <c r="G4" s="779"/>
      <c r="H4" s="779"/>
      <c r="I4" s="780"/>
      <c r="J4" s="781"/>
      <c r="K4" s="782"/>
      <c r="L4" s="783"/>
      <c r="M4" s="784"/>
      <c r="N4" s="785"/>
      <c r="O4" s="785"/>
      <c r="P4" s="786"/>
      <c r="Q4" s="787"/>
      <c r="R4" s="787"/>
      <c r="S4" s="788"/>
      <c r="T4" s="787"/>
      <c r="U4" s="787"/>
      <c r="V4" s="787"/>
      <c r="W4" s="789"/>
      <c r="X4" s="789"/>
      <c r="Y4" s="789"/>
      <c r="Z4" s="789"/>
    </row>
    <row r="5" spans="2:27" s="803" customFormat="1" ht="31.5">
      <c r="B5" s="791" t="s">
        <v>514</v>
      </c>
      <c r="C5" s="792"/>
      <c r="D5" s="793" t="s">
        <v>78</v>
      </c>
      <c r="E5" s="793" t="s">
        <v>526</v>
      </c>
      <c r="F5" s="793" t="s">
        <v>141</v>
      </c>
      <c r="G5" s="794" t="s">
        <v>1612</v>
      </c>
      <c r="H5" s="794" t="s">
        <v>1613</v>
      </c>
      <c r="I5" s="795" t="s">
        <v>1614</v>
      </c>
      <c r="J5" s="795" t="s">
        <v>1615</v>
      </c>
      <c r="K5" s="796" t="s">
        <v>1616</v>
      </c>
      <c r="L5" s="796" t="s">
        <v>1617</v>
      </c>
      <c r="M5" s="797" t="s">
        <v>1618</v>
      </c>
      <c r="N5" s="798"/>
      <c r="O5" s="798"/>
      <c r="P5" s="799"/>
      <c r="Q5" s="800"/>
      <c r="R5" s="800"/>
      <c r="S5" s="801"/>
      <c r="T5" s="800"/>
      <c r="U5" s="800"/>
      <c r="V5" s="800"/>
      <c r="W5" s="802"/>
      <c r="X5" s="802"/>
      <c r="Y5" s="802"/>
      <c r="Z5" s="802"/>
    </row>
    <row r="6" spans="2:27" ht="11.25" customHeight="1">
      <c r="B6" s="804">
        <v>45671</v>
      </c>
      <c r="C6" s="805"/>
      <c r="D6" s="806" t="s">
        <v>1619</v>
      </c>
      <c r="E6" s="806" t="s">
        <v>138</v>
      </c>
      <c r="F6" s="806" t="s">
        <v>187</v>
      </c>
      <c r="G6" s="807">
        <v>7.3</v>
      </c>
      <c r="H6" s="808">
        <v>9.9499999999999993</v>
      </c>
      <c r="I6" s="808">
        <v>52.5</v>
      </c>
      <c r="J6" s="809">
        <v>45291</v>
      </c>
      <c r="K6" s="810" t="s">
        <v>1620</v>
      </c>
      <c r="L6" s="811">
        <v>36.835000000000001</v>
      </c>
      <c r="M6" s="811" t="s">
        <v>1290</v>
      </c>
      <c r="O6" s="810"/>
      <c r="P6" s="811"/>
      <c r="Q6" s="808"/>
      <c r="R6" s="809"/>
      <c r="S6" s="810"/>
      <c r="T6" s="811"/>
      <c r="U6" s="771"/>
      <c r="V6" s="812"/>
      <c r="W6" s="812"/>
      <c r="X6" s="813"/>
      <c r="Y6" s="771"/>
      <c r="Z6" s="814"/>
      <c r="AA6" s="815"/>
    </row>
    <row r="7" spans="2:27" ht="11.25" customHeight="1">
      <c r="B7" s="804">
        <v>45672</v>
      </c>
      <c r="C7" s="805"/>
      <c r="D7" s="806" t="s">
        <v>164</v>
      </c>
      <c r="E7" s="806" t="s">
        <v>551</v>
      </c>
      <c r="F7" s="806" t="s">
        <v>165</v>
      </c>
      <c r="G7" s="807">
        <v>6.98</v>
      </c>
      <c r="H7" s="808">
        <v>9.5</v>
      </c>
      <c r="I7" s="808">
        <v>51.12</v>
      </c>
      <c r="J7" s="809">
        <v>45169</v>
      </c>
      <c r="K7" s="810" t="s">
        <v>1621</v>
      </c>
      <c r="L7" s="815">
        <v>119.5</v>
      </c>
      <c r="M7" s="811" t="s">
        <v>1622</v>
      </c>
      <c r="O7" s="810"/>
      <c r="P7" s="815"/>
      <c r="Q7" s="808"/>
      <c r="R7" s="809"/>
      <c r="S7" s="810"/>
      <c r="T7" s="815"/>
      <c r="U7" s="771"/>
      <c r="V7" s="812"/>
      <c r="W7" s="812"/>
      <c r="X7" s="813"/>
      <c r="Y7" s="771"/>
      <c r="Z7" s="814"/>
      <c r="AA7" s="815"/>
    </row>
    <row r="8" spans="2:27" ht="11.25" customHeight="1">
      <c r="B8" s="804">
        <v>45672</v>
      </c>
      <c r="C8" s="805"/>
      <c r="D8" s="806" t="s">
        <v>1623</v>
      </c>
      <c r="E8" s="806" t="s">
        <v>1518</v>
      </c>
      <c r="F8" s="806" t="s">
        <v>1565</v>
      </c>
      <c r="G8" s="807">
        <v>7.64</v>
      </c>
      <c r="H8" s="808">
        <v>9.9</v>
      </c>
      <c r="I8" s="808">
        <v>50</v>
      </c>
      <c r="J8" s="809">
        <v>45107</v>
      </c>
      <c r="K8" s="810" t="s">
        <v>47</v>
      </c>
      <c r="L8" s="815">
        <v>529.91483499999993</v>
      </c>
      <c r="M8" s="811" t="s">
        <v>1624</v>
      </c>
      <c r="O8" s="810"/>
      <c r="P8" s="815"/>
      <c r="Q8" s="808"/>
      <c r="R8" s="809"/>
      <c r="S8" s="810"/>
      <c r="T8" s="815"/>
      <c r="U8" s="771"/>
      <c r="V8" s="812"/>
      <c r="W8" s="812"/>
      <c r="X8" s="813"/>
      <c r="Y8" s="771"/>
      <c r="Z8" s="814"/>
      <c r="AA8" s="815"/>
    </row>
    <row r="9" spans="2:27" ht="11.25" customHeight="1">
      <c r="B9" s="804">
        <v>45673</v>
      </c>
      <c r="C9" s="805"/>
      <c r="D9" s="806" t="s">
        <v>1625</v>
      </c>
      <c r="E9" s="806" t="s">
        <v>1626</v>
      </c>
      <c r="F9" s="806" t="s">
        <v>228</v>
      </c>
      <c r="G9" s="807">
        <v>8.07</v>
      </c>
      <c r="H9" s="808">
        <v>10</v>
      </c>
      <c r="I9" s="808">
        <v>57</v>
      </c>
      <c r="J9" s="809">
        <v>46387</v>
      </c>
      <c r="K9" s="810" t="s">
        <v>47</v>
      </c>
      <c r="L9" s="815">
        <v>13.094773999999999</v>
      </c>
      <c r="M9" s="811" t="s">
        <v>1627</v>
      </c>
      <c r="O9" s="810"/>
      <c r="P9" s="815"/>
      <c r="Q9" s="808"/>
      <c r="R9" s="809"/>
      <c r="S9" s="810"/>
      <c r="T9" s="815"/>
      <c r="U9" s="771"/>
      <c r="V9" s="812"/>
      <c r="W9" s="812"/>
      <c r="X9" s="813"/>
      <c r="Y9" s="771"/>
      <c r="Z9" s="814"/>
      <c r="AA9" s="815"/>
    </row>
    <row r="10" spans="2:27" s="1367" customFormat="1" ht="11.25" customHeight="1">
      <c r="B10" s="1365">
        <v>45680</v>
      </c>
      <c r="C10" s="1366"/>
      <c r="D10" s="1367" t="s">
        <v>180</v>
      </c>
      <c r="E10" s="1367" t="s">
        <v>716</v>
      </c>
      <c r="F10" s="1367" t="s">
        <v>161</v>
      </c>
      <c r="G10" s="1368">
        <v>5.69</v>
      </c>
      <c r="H10" s="1369">
        <v>9.9</v>
      </c>
      <c r="I10" s="1369">
        <v>39.229999999999997</v>
      </c>
      <c r="J10" s="1370">
        <v>46022</v>
      </c>
      <c r="K10" s="1371" t="s">
        <v>47</v>
      </c>
      <c r="L10" s="1372">
        <v>217.38</v>
      </c>
      <c r="M10" s="1372" t="s">
        <v>1628</v>
      </c>
      <c r="N10" s="1373"/>
      <c r="O10" s="1371"/>
      <c r="P10" s="1372"/>
      <c r="Q10" s="1369"/>
      <c r="R10" s="1370"/>
      <c r="S10" s="1371"/>
      <c r="T10" s="1372"/>
      <c r="U10" s="1374"/>
      <c r="V10" s="1375"/>
      <c r="W10" s="1375"/>
      <c r="X10" s="1376"/>
      <c r="Y10" s="1374"/>
      <c r="Z10" s="1369"/>
      <c r="AA10" s="1372"/>
    </row>
    <row r="11" spans="2:27" ht="11.25" customHeight="1">
      <c r="B11" s="804">
        <v>45685</v>
      </c>
      <c r="C11" s="805"/>
      <c r="D11" s="806" t="s">
        <v>1393</v>
      </c>
      <c r="E11" s="806" t="s">
        <v>1045</v>
      </c>
      <c r="F11" s="806" t="s">
        <v>171</v>
      </c>
      <c r="G11" s="807" t="s">
        <v>1621</v>
      </c>
      <c r="H11" s="808" t="s">
        <v>1621</v>
      </c>
      <c r="I11" s="808" t="s">
        <v>1621</v>
      </c>
      <c r="J11" s="809">
        <v>45291</v>
      </c>
      <c r="K11" s="810" t="s">
        <v>1621</v>
      </c>
      <c r="L11" s="815">
        <v>8.2861910000000005</v>
      </c>
      <c r="M11" s="815" t="s">
        <v>1290</v>
      </c>
      <c r="O11" s="810"/>
      <c r="P11" s="815"/>
      <c r="Q11" s="808"/>
      <c r="R11" s="809"/>
      <c r="S11" s="810"/>
      <c r="T11" s="815"/>
      <c r="U11" s="771"/>
      <c r="V11" s="812"/>
      <c r="W11" s="812"/>
      <c r="X11" s="813"/>
      <c r="Y11" s="771"/>
      <c r="Z11" s="814"/>
      <c r="AA11" s="815"/>
    </row>
    <row r="12" spans="2:27" ht="11.25" customHeight="1">
      <c r="B12" s="804">
        <v>45686</v>
      </c>
      <c r="C12" s="805"/>
      <c r="D12" s="806" t="s">
        <v>184</v>
      </c>
      <c r="E12" s="806" t="s">
        <v>718</v>
      </c>
      <c r="F12" s="806" t="s">
        <v>157</v>
      </c>
      <c r="G12" s="807">
        <v>6.19</v>
      </c>
      <c r="H12" s="808">
        <v>9.75</v>
      </c>
      <c r="I12" s="814">
        <v>43.28</v>
      </c>
      <c r="J12" s="809">
        <v>46022</v>
      </c>
      <c r="K12" s="810" t="s">
        <v>1620</v>
      </c>
      <c r="L12" s="811">
        <v>295.678</v>
      </c>
      <c r="M12" s="811" t="s">
        <v>1624</v>
      </c>
      <c r="O12" s="810"/>
      <c r="P12" s="811"/>
      <c r="Q12" s="814"/>
      <c r="R12" s="809"/>
      <c r="S12" s="810"/>
      <c r="T12" s="811"/>
      <c r="U12" s="771"/>
      <c r="V12" s="812"/>
      <c r="W12" s="812"/>
      <c r="X12" s="813"/>
      <c r="Y12" s="771"/>
      <c r="Z12" s="814"/>
      <c r="AA12" s="815"/>
    </row>
    <row r="13" spans="2:27" ht="11.25" customHeight="1">
      <c r="B13" s="804">
        <v>45688</v>
      </c>
      <c r="C13" s="805"/>
      <c r="D13" s="806" t="s">
        <v>1629</v>
      </c>
      <c r="E13" s="806" t="s">
        <v>1630</v>
      </c>
      <c r="F13" s="806" t="s">
        <v>222</v>
      </c>
      <c r="G13" s="807">
        <v>7.25</v>
      </c>
      <c r="H13" s="808" t="s">
        <v>1621</v>
      </c>
      <c r="I13" s="808" t="s">
        <v>1621</v>
      </c>
      <c r="J13" s="809" t="s">
        <v>1621</v>
      </c>
      <c r="K13" s="810" t="s">
        <v>1621</v>
      </c>
      <c r="L13" s="811">
        <v>57.94</v>
      </c>
      <c r="M13" s="811" t="s">
        <v>1631</v>
      </c>
      <c r="O13" s="810"/>
      <c r="P13" s="811"/>
      <c r="Q13" s="808"/>
      <c r="R13" s="809"/>
      <c r="S13" s="810"/>
      <c r="T13" s="811"/>
      <c r="U13" s="771"/>
      <c r="V13" s="812"/>
      <c r="W13" s="812"/>
      <c r="X13" s="813"/>
      <c r="Y13" s="771"/>
      <c r="Z13" s="814"/>
      <c r="AA13" s="815"/>
    </row>
    <row r="14" spans="2:27" ht="11.25" customHeight="1">
      <c r="B14" s="804">
        <v>45691</v>
      </c>
      <c r="C14" s="805"/>
      <c r="D14" s="806" t="s">
        <v>1632</v>
      </c>
      <c r="E14" s="806" t="s">
        <v>664</v>
      </c>
      <c r="F14" s="806" t="s">
        <v>157</v>
      </c>
      <c r="G14" s="807">
        <v>6.77</v>
      </c>
      <c r="H14" s="808">
        <v>9.8000000000000007</v>
      </c>
      <c r="I14" s="808">
        <v>48.28</v>
      </c>
      <c r="J14" s="816">
        <v>46022</v>
      </c>
      <c r="K14" s="810" t="s">
        <v>1620</v>
      </c>
      <c r="L14" s="811">
        <v>93.972808000000001</v>
      </c>
      <c r="M14" s="811" t="s">
        <v>1627</v>
      </c>
      <c r="O14" s="810"/>
      <c r="P14" s="811"/>
      <c r="Q14" s="808"/>
      <c r="R14" s="816"/>
      <c r="S14" s="810"/>
      <c r="T14" s="811"/>
      <c r="U14" s="771"/>
      <c r="V14" s="812"/>
      <c r="W14" s="812"/>
      <c r="X14" s="813"/>
      <c r="Y14" s="771"/>
      <c r="Z14" s="814"/>
      <c r="AA14" s="815"/>
    </row>
    <row r="15" spans="2:27" s="1367" customFormat="1" ht="11.15" customHeight="1">
      <c r="B15" s="1365">
        <v>45715</v>
      </c>
      <c r="C15" s="1366"/>
      <c r="D15" s="1367" t="s">
        <v>1619</v>
      </c>
      <c r="E15" s="1367" t="s">
        <v>138</v>
      </c>
      <c r="F15" s="1367" t="s">
        <v>171</v>
      </c>
      <c r="G15" s="1368">
        <v>7.2</v>
      </c>
      <c r="H15" s="1369">
        <v>9.6999999999999993</v>
      </c>
      <c r="I15" s="1369">
        <v>51.99</v>
      </c>
      <c r="J15" s="1370">
        <v>46112</v>
      </c>
      <c r="K15" s="1371" t="s">
        <v>47</v>
      </c>
      <c r="L15" s="1372">
        <v>55.654599000000005</v>
      </c>
      <c r="M15" s="1372" t="s">
        <v>1633</v>
      </c>
      <c r="O15" s="1374"/>
      <c r="P15" s="1372"/>
      <c r="Q15" s="1369"/>
      <c r="R15" s="1370"/>
      <c r="S15" s="1371"/>
      <c r="T15" s="1372"/>
      <c r="U15" s="1374"/>
      <c r="V15" s="1375"/>
      <c r="W15" s="1375"/>
      <c r="X15" s="1376"/>
      <c r="Y15" s="1374"/>
      <c r="Z15" s="1369"/>
      <c r="AA15" s="1372"/>
    </row>
    <row r="16" spans="2:27" ht="11.15" customHeight="1">
      <c r="B16" s="804">
        <v>45720</v>
      </c>
      <c r="C16" s="805"/>
      <c r="D16" s="806" t="s">
        <v>1634</v>
      </c>
      <c r="E16" s="806" t="s">
        <v>1635</v>
      </c>
      <c r="F16" s="806" t="s">
        <v>183</v>
      </c>
      <c r="G16" s="807">
        <v>6.34</v>
      </c>
      <c r="H16" s="808">
        <v>10.15</v>
      </c>
      <c r="I16" s="808">
        <v>42.42</v>
      </c>
      <c r="J16" s="809">
        <v>46022</v>
      </c>
      <c r="K16" s="810" t="s">
        <v>47</v>
      </c>
      <c r="L16" s="811">
        <v>9.6751710000000006</v>
      </c>
      <c r="M16" s="817" t="s">
        <v>1636</v>
      </c>
      <c r="O16" s="810"/>
      <c r="P16" s="811"/>
      <c r="Q16" s="808"/>
      <c r="R16" s="809"/>
      <c r="S16" s="810"/>
      <c r="T16" s="811"/>
      <c r="U16" s="771"/>
      <c r="V16" s="812"/>
      <c r="W16" s="812"/>
      <c r="X16" s="813"/>
      <c r="Y16" s="771"/>
      <c r="Z16" s="814"/>
      <c r="AA16" s="815"/>
    </row>
    <row r="17" spans="1:29" s="1367" customFormat="1" ht="11.25" customHeight="1">
      <c r="B17" s="1365">
        <v>45727</v>
      </c>
      <c r="C17" s="1366"/>
      <c r="D17" s="1367" t="s">
        <v>170</v>
      </c>
      <c r="E17" s="1367" t="s">
        <v>551</v>
      </c>
      <c r="F17" s="1367" t="s">
        <v>173</v>
      </c>
      <c r="G17" s="1368" t="s">
        <v>1621</v>
      </c>
      <c r="H17" s="1369" t="s">
        <v>1621</v>
      </c>
      <c r="I17" s="1369" t="s">
        <v>1621</v>
      </c>
      <c r="J17" s="1370">
        <v>45351</v>
      </c>
      <c r="K17" s="1371" t="s">
        <v>1621</v>
      </c>
      <c r="L17" s="1372">
        <v>20.399999999999999</v>
      </c>
      <c r="M17" s="1372" t="s">
        <v>1637</v>
      </c>
      <c r="N17" s="1373"/>
      <c r="O17" s="1377"/>
      <c r="P17" s="1372"/>
      <c r="Q17" s="1369"/>
      <c r="R17" s="1370"/>
      <c r="S17" s="1378"/>
      <c r="T17" s="1372"/>
      <c r="U17" s="1374"/>
      <c r="V17" s="1375"/>
      <c r="W17" s="1375"/>
      <c r="X17" s="1376"/>
      <c r="Y17" s="1374"/>
      <c r="Z17" s="1369"/>
      <c r="AA17" s="1372"/>
    </row>
    <row r="18" spans="1:29" ht="11.25" customHeight="1">
      <c r="B18" s="804">
        <v>45728</v>
      </c>
      <c r="C18" s="805"/>
      <c r="D18" s="806" t="s">
        <v>1638</v>
      </c>
      <c r="E18" s="806" t="s">
        <v>1264</v>
      </c>
      <c r="F18" s="806" t="s">
        <v>233</v>
      </c>
      <c r="G18" s="807">
        <v>6.9</v>
      </c>
      <c r="H18" s="808">
        <v>9.4</v>
      </c>
      <c r="I18" s="808">
        <v>48</v>
      </c>
      <c r="J18" s="816">
        <v>45291</v>
      </c>
      <c r="K18" s="810" t="s">
        <v>47</v>
      </c>
      <c r="L18" s="811">
        <v>17.03152</v>
      </c>
      <c r="M18" s="811" t="s">
        <v>1518</v>
      </c>
      <c r="O18" s="810"/>
      <c r="P18" s="811"/>
      <c r="Q18" s="808"/>
      <c r="R18" s="816"/>
      <c r="S18" s="810"/>
      <c r="T18" s="811"/>
      <c r="U18" s="771"/>
      <c r="V18" s="818"/>
      <c r="X18" s="813"/>
      <c r="Y18" s="771"/>
      <c r="Z18" s="814"/>
      <c r="AA18" s="815"/>
    </row>
    <row r="19" spans="1:29" ht="11.25" customHeight="1">
      <c r="B19" s="804">
        <v>45729</v>
      </c>
      <c r="C19" s="805"/>
      <c r="D19" s="806" t="s">
        <v>1578</v>
      </c>
      <c r="E19" s="806" t="s">
        <v>664</v>
      </c>
      <c r="F19" s="806" t="s">
        <v>169</v>
      </c>
      <c r="G19" s="807">
        <v>6.61</v>
      </c>
      <c r="H19" s="808">
        <v>9.65</v>
      </c>
      <c r="I19" s="808">
        <v>43.25</v>
      </c>
      <c r="J19" s="809">
        <v>45291</v>
      </c>
      <c r="K19" s="810" t="s">
        <v>1620</v>
      </c>
      <c r="L19" s="811">
        <v>-33.542836999999999</v>
      </c>
      <c r="M19" s="811" t="s">
        <v>1639</v>
      </c>
      <c r="O19" s="810"/>
      <c r="P19" s="811"/>
      <c r="Q19" s="808"/>
      <c r="R19" s="809"/>
      <c r="S19" s="810"/>
      <c r="T19" s="811"/>
      <c r="U19" s="771"/>
      <c r="V19" s="818"/>
      <c r="X19" s="813"/>
      <c r="Y19" s="771"/>
      <c r="Z19" s="814"/>
      <c r="AA19" s="815"/>
    </row>
    <row r="20" spans="1:29" ht="11.25" customHeight="1">
      <c r="B20" s="804">
        <v>45729</v>
      </c>
      <c r="C20" s="805"/>
      <c r="D20" s="806" t="s">
        <v>1640</v>
      </c>
      <c r="E20" s="806" t="s">
        <v>1518</v>
      </c>
      <c r="F20" s="806" t="s">
        <v>1641</v>
      </c>
      <c r="G20" s="807">
        <v>6.84</v>
      </c>
      <c r="H20" s="808">
        <v>9.35</v>
      </c>
      <c r="I20" s="808">
        <v>50</v>
      </c>
      <c r="J20" s="816">
        <v>45107</v>
      </c>
      <c r="K20" s="810" t="s">
        <v>47</v>
      </c>
      <c r="L20" s="811">
        <v>32.299999999999997</v>
      </c>
      <c r="M20" s="811" t="s">
        <v>138</v>
      </c>
      <c r="O20" s="810"/>
      <c r="P20" s="811"/>
      <c r="Q20" s="808"/>
      <c r="R20" s="816"/>
      <c r="S20" s="810"/>
      <c r="T20" s="811"/>
      <c r="U20" s="771"/>
      <c r="V20" s="818"/>
      <c r="X20" s="813"/>
      <c r="Y20" s="771"/>
      <c r="Z20" s="814"/>
      <c r="AA20" s="815"/>
    </row>
    <row r="21" spans="1:29" ht="11.25" customHeight="1">
      <c r="B21" s="804">
        <v>45736</v>
      </c>
      <c r="C21" s="805"/>
      <c r="D21" s="806" t="s">
        <v>1642</v>
      </c>
      <c r="E21" s="806" t="s">
        <v>728</v>
      </c>
      <c r="F21" s="806" t="s">
        <v>178</v>
      </c>
      <c r="G21" s="807">
        <v>7.25</v>
      </c>
      <c r="H21" s="808">
        <v>9.75</v>
      </c>
      <c r="I21" s="808">
        <v>48</v>
      </c>
      <c r="J21" s="816">
        <v>46022</v>
      </c>
      <c r="K21" s="810" t="s">
        <v>47</v>
      </c>
      <c r="L21" s="811">
        <v>-13.06</v>
      </c>
      <c r="M21" s="811" t="s">
        <v>1643</v>
      </c>
      <c r="O21" s="810"/>
      <c r="P21" s="811"/>
      <c r="Q21" s="808"/>
      <c r="R21" s="816"/>
      <c r="S21" s="810"/>
      <c r="T21" s="811"/>
      <c r="U21" s="771"/>
      <c r="V21" s="818"/>
      <c r="X21" s="813"/>
      <c r="Y21" s="771"/>
      <c r="Z21" s="814"/>
      <c r="AA21" s="815"/>
    </row>
    <row r="22" spans="1:29" ht="11.25" customHeight="1">
      <c r="B22" s="804">
        <v>45737</v>
      </c>
      <c r="C22" s="805"/>
      <c r="D22" s="806" t="s">
        <v>175</v>
      </c>
      <c r="E22" s="806" t="s">
        <v>662</v>
      </c>
      <c r="F22" s="806" t="s">
        <v>161</v>
      </c>
      <c r="G22" s="807">
        <v>5.97</v>
      </c>
      <c r="H22" s="808">
        <v>9.9</v>
      </c>
      <c r="I22" s="808">
        <v>41.73</v>
      </c>
      <c r="J22" s="816">
        <v>46081</v>
      </c>
      <c r="K22" s="810" t="s">
        <v>47</v>
      </c>
      <c r="L22" s="811">
        <v>153.809</v>
      </c>
      <c r="M22" s="811" t="s">
        <v>1518</v>
      </c>
      <c r="O22" s="810"/>
      <c r="P22" s="811"/>
      <c r="Q22" s="808"/>
      <c r="R22" s="816"/>
      <c r="S22" s="810"/>
      <c r="T22" s="811"/>
      <c r="U22" s="771"/>
      <c r="V22" s="818"/>
      <c r="X22" s="813"/>
      <c r="Y22" s="771"/>
      <c r="Z22" s="814"/>
      <c r="AA22" s="815"/>
    </row>
    <row r="23" spans="1:29" ht="11.25" customHeight="1">
      <c r="B23" s="804">
        <v>45741</v>
      </c>
      <c r="C23" s="805"/>
      <c r="D23" s="806" t="s">
        <v>1644</v>
      </c>
      <c r="E23" s="806" t="s">
        <v>1645</v>
      </c>
      <c r="F23" s="806" t="s">
        <v>210</v>
      </c>
      <c r="G23" s="807">
        <v>7.71</v>
      </c>
      <c r="H23" s="808">
        <v>9.1</v>
      </c>
      <c r="I23" s="808">
        <v>52</v>
      </c>
      <c r="J23" s="816">
        <v>44926</v>
      </c>
      <c r="K23" s="810" t="s">
        <v>47</v>
      </c>
      <c r="L23" s="811">
        <v>0.32345600000000002</v>
      </c>
      <c r="M23" s="811" t="s">
        <v>1646</v>
      </c>
      <c r="O23" s="810"/>
      <c r="P23" s="811"/>
      <c r="Q23" s="808"/>
      <c r="R23" s="816"/>
      <c r="S23" s="810"/>
      <c r="T23" s="811"/>
      <c r="U23" s="771"/>
      <c r="V23" s="818"/>
      <c r="X23" s="813"/>
      <c r="Y23" s="771"/>
      <c r="Z23" s="814"/>
      <c r="AA23" s="815"/>
    </row>
    <row r="24" spans="1:29" s="1367" customFormat="1" ht="11.25" customHeight="1">
      <c r="B24" s="1365">
        <v>45742</v>
      </c>
      <c r="C24" s="1366"/>
      <c r="D24" s="1367" t="s">
        <v>1647</v>
      </c>
      <c r="E24" s="1367" t="s">
        <v>973</v>
      </c>
      <c r="F24" s="1367" t="s">
        <v>157</v>
      </c>
      <c r="G24" s="1368" t="s">
        <v>1621</v>
      </c>
      <c r="H24" s="1369" t="s">
        <v>1621</v>
      </c>
      <c r="I24" s="1369" t="s">
        <v>1621</v>
      </c>
      <c r="J24" s="1379">
        <v>45565</v>
      </c>
      <c r="K24" s="1371" t="s">
        <v>1620</v>
      </c>
      <c r="L24" s="1372">
        <v>23.162371</v>
      </c>
      <c r="M24" s="1372" t="s">
        <v>1648</v>
      </c>
      <c r="N24" s="1373"/>
      <c r="P24" s="1372"/>
      <c r="Q24" s="1369"/>
      <c r="R24" s="1379"/>
      <c r="S24" s="1371"/>
      <c r="T24" s="1372"/>
      <c r="U24" s="1374"/>
      <c r="V24" s="1380"/>
      <c r="X24" s="1376"/>
      <c r="Y24" s="1374"/>
      <c r="Z24" s="1369"/>
      <c r="AA24" s="1372"/>
    </row>
    <row r="25" spans="1:29" s="1367" customFormat="1" ht="11.25" customHeight="1">
      <c r="B25" s="1365">
        <v>45742</v>
      </c>
      <c r="C25" s="1366"/>
      <c r="D25" s="1367" t="s">
        <v>1619</v>
      </c>
      <c r="E25" s="1367" t="s">
        <v>138</v>
      </c>
      <c r="F25" s="1367" t="s">
        <v>171</v>
      </c>
      <c r="G25" s="1368">
        <v>7.2</v>
      </c>
      <c r="H25" s="1369">
        <v>9.6999999999999993</v>
      </c>
      <c r="I25" s="1369">
        <v>51.99</v>
      </c>
      <c r="J25" s="1379">
        <v>46142</v>
      </c>
      <c r="K25" s="1371" t="s">
        <v>47</v>
      </c>
      <c r="L25" s="1372">
        <v>6.9665789999999994</v>
      </c>
      <c r="M25" s="1372" t="s">
        <v>1649</v>
      </c>
      <c r="N25" s="1373"/>
      <c r="P25" s="1372"/>
      <c r="Q25" s="1369"/>
      <c r="R25" s="1379"/>
      <c r="S25" s="1371"/>
      <c r="T25" s="1372"/>
      <c r="U25" s="1374"/>
      <c r="V25" s="1380"/>
      <c r="X25" s="1376"/>
      <c r="Y25" s="1374"/>
      <c r="Z25" s="1369"/>
      <c r="AA25" s="1372"/>
    </row>
    <row r="26" spans="1:29" ht="11.25" customHeight="1">
      <c r="A26" s="819"/>
      <c r="B26" s="820"/>
      <c r="C26" s="821"/>
      <c r="D26" s="822" t="s">
        <v>1650</v>
      </c>
      <c r="E26" s="823"/>
      <c r="F26" s="819"/>
      <c r="G26" s="824">
        <v>6.94</v>
      </c>
      <c r="H26" s="824">
        <v>9.7200000000000006</v>
      </c>
      <c r="I26" s="824">
        <v>48.17</v>
      </c>
      <c r="J26" s="825"/>
      <c r="K26" s="825"/>
      <c r="L26" s="826">
        <v>1645.3</v>
      </c>
      <c r="M26" s="827"/>
      <c r="Q26" s="828"/>
      <c r="R26" s="828"/>
      <c r="S26" s="828"/>
      <c r="T26" s="829"/>
      <c r="U26" s="830"/>
      <c r="V26" s="830"/>
      <c r="X26" s="829"/>
      <c r="Y26" s="830"/>
      <c r="Z26" s="831"/>
      <c r="AA26" s="831"/>
      <c r="AC26" s="812"/>
    </row>
    <row r="27" spans="1:29" ht="11.25" customHeight="1">
      <c r="B27" s="832"/>
      <c r="C27" s="821"/>
      <c r="D27" s="822" t="s">
        <v>324</v>
      </c>
      <c r="E27" s="823"/>
      <c r="F27" s="819"/>
      <c r="G27" s="833">
        <v>17</v>
      </c>
      <c r="H27" s="833">
        <v>16</v>
      </c>
      <c r="I27" s="833">
        <v>16</v>
      </c>
      <c r="J27" s="824"/>
      <c r="K27" s="834"/>
      <c r="L27" s="833">
        <v>20</v>
      </c>
      <c r="M27" s="827"/>
      <c r="O27" s="814"/>
      <c r="P27" s="814"/>
      <c r="Q27" s="814"/>
      <c r="R27" s="830"/>
      <c r="S27" s="835"/>
      <c r="T27" s="829"/>
      <c r="U27" s="830"/>
      <c r="V27" s="830"/>
      <c r="X27" s="829"/>
      <c r="Y27" s="830"/>
    </row>
    <row r="28" spans="1:29" ht="11.25" customHeight="1">
      <c r="B28" s="836"/>
      <c r="C28" s="821"/>
      <c r="D28" s="822"/>
      <c r="E28" s="822"/>
      <c r="F28" s="837"/>
      <c r="G28" s="838"/>
      <c r="H28" s="838"/>
      <c r="I28" s="837"/>
      <c r="J28" s="839"/>
      <c r="K28" s="840"/>
      <c r="L28" s="841"/>
      <c r="M28" s="842"/>
      <c r="Q28" s="830"/>
      <c r="R28" s="830"/>
      <c r="S28" s="835"/>
      <c r="T28" s="829"/>
      <c r="U28" s="830"/>
      <c r="V28" s="830"/>
    </row>
    <row r="29" spans="1:29" s="790" customFormat="1" ht="13">
      <c r="B29" s="774" t="s">
        <v>1651</v>
      </c>
      <c r="C29" s="775"/>
      <c r="D29" s="776"/>
      <c r="E29" s="777"/>
      <c r="F29" s="778"/>
      <c r="G29" s="779"/>
      <c r="H29" s="779"/>
      <c r="I29" s="780"/>
      <c r="J29" s="781"/>
      <c r="K29" s="782"/>
      <c r="L29" s="783"/>
      <c r="M29" s="784"/>
      <c r="N29" s="785"/>
      <c r="O29" s="785"/>
      <c r="P29" s="786"/>
      <c r="Q29" s="787"/>
      <c r="R29" s="787"/>
      <c r="S29" s="788"/>
      <c r="T29" s="787"/>
      <c r="U29" s="787"/>
      <c r="V29" s="787"/>
      <c r="W29" s="789"/>
      <c r="X29" s="789"/>
      <c r="Y29" s="789"/>
      <c r="Z29" s="789"/>
    </row>
    <row r="30" spans="1:29" s="803" customFormat="1" ht="31.5">
      <c r="B30" s="791" t="s">
        <v>514</v>
      </c>
      <c r="C30" s="792"/>
      <c r="D30" s="793" t="s">
        <v>78</v>
      </c>
      <c r="E30" s="793" t="s">
        <v>526</v>
      </c>
      <c r="F30" s="793" t="s">
        <v>141</v>
      </c>
      <c r="G30" s="794" t="s">
        <v>1612</v>
      </c>
      <c r="H30" s="794" t="s">
        <v>1613</v>
      </c>
      <c r="I30" s="795" t="s">
        <v>1652</v>
      </c>
      <c r="J30" s="843" t="s">
        <v>1653</v>
      </c>
      <c r="K30" s="796" t="s">
        <v>1616</v>
      </c>
      <c r="L30" s="796" t="s">
        <v>1617</v>
      </c>
      <c r="M30" s="797" t="s">
        <v>1618</v>
      </c>
      <c r="N30" s="798"/>
      <c r="O30" s="798"/>
      <c r="P30" s="799"/>
      <c r="Q30" s="800"/>
      <c r="R30" s="800"/>
      <c r="S30" s="801"/>
      <c r="T30" s="800"/>
      <c r="U30" s="800"/>
      <c r="V30" s="800"/>
      <c r="W30" s="802"/>
      <c r="X30" s="802"/>
      <c r="Y30" s="802"/>
      <c r="Z30" s="802"/>
    </row>
    <row r="31" spans="1:29" s="769" customFormat="1" ht="14.5">
      <c r="B31" s="844">
        <v>45664</v>
      </c>
      <c r="C31" s="805"/>
      <c r="D31" s="806" t="s">
        <v>1654</v>
      </c>
      <c r="E31" s="806" t="s">
        <v>718</v>
      </c>
      <c r="F31" s="806" t="s">
        <v>187</v>
      </c>
      <c r="G31" s="807">
        <v>7.16</v>
      </c>
      <c r="H31" s="808">
        <v>9.8000000000000007</v>
      </c>
      <c r="I31" s="808">
        <v>52.3</v>
      </c>
      <c r="J31" s="816">
        <v>45291</v>
      </c>
      <c r="K31" s="810" t="s">
        <v>1620</v>
      </c>
      <c r="L31" s="811">
        <v>141.46234900000002</v>
      </c>
      <c r="M31" s="811" t="s">
        <v>1290</v>
      </c>
      <c r="N31" s="815"/>
      <c r="O31" s="815"/>
      <c r="P31" s="811"/>
      <c r="Q31" s="815"/>
      <c r="R31" s="810"/>
      <c r="S31" s="808"/>
      <c r="T31" s="845"/>
      <c r="U31" s="846"/>
      <c r="V31" s="829"/>
      <c r="Y31" s="768"/>
    </row>
    <row r="32" spans="1:29" ht="11.25" customHeight="1">
      <c r="B32" s="844">
        <v>45672</v>
      </c>
      <c r="C32" s="805"/>
      <c r="D32" s="806" t="s">
        <v>1623</v>
      </c>
      <c r="E32" s="806" t="s">
        <v>1518</v>
      </c>
      <c r="F32" s="806" t="s">
        <v>1565</v>
      </c>
      <c r="G32" s="807">
        <v>7.64</v>
      </c>
      <c r="H32" s="808">
        <v>9.9</v>
      </c>
      <c r="I32" s="808">
        <v>50</v>
      </c>
      <c r="J32" s="809">
        <v>45107</v>
      </c>
      <c r="K32" s="810" t="s">
        <v>47</v>
      </c>
      <c r="L32" s="811">
        <v>130.906656</v>
      </c>
      <c r="M32" s="815" t="s">
        <v>1624</v>
      </c>
      <c r="N32" s="815"/>
      <c r="O32" s="815"/>
      <c r="P32" s="811"/>
      <c r="Q32" s="815"/>
      <c r="R32" s="810"/>
      <c r="S32" s="808"/>
      <c r="T32" s="845"/>
      <c r="U32" s="846"/>
      <c r="V32" s="812"/>
      <c r="W32" s="812"/>
    </row>
    <row r="33" spans="1:28" s="1367" customFormat="1" ht="11.25" customHeight="1">
      <c r="B33" s="1381">
        <v>45686</v>
      </c>
      <c r="C33" s="1366"/>
      <c r="D33" s="1367" t="s">
        <v>1655</v>
      </c>
      <c r="E33" s="1367" t="s">
        <v>664</v>
      </c>
      <c r="F33" s="1367" t="s">
        <v>157</v>
      </c>
      <c r="G33" s="1368" t="s">
        <v>1621</v>
      </c>
      <c r="H33" s="1369" t="s">
        <v>1621</v>
      </c>
      <c r="I33" s="1369" t="s">
        <v>1621</v>
      </c>
      <c r="J33" s="1379">
        <v>45473</v>
      </c>
      <c r="K33" s="1371" t="s">
        <v>1620</v>
      </c>
      <c r="L33" s="1372">
        <v>17.193086000000001</v>
      </c>
      <c r="M33" s="1372" t="s">
        <v>1648</v>
      </c>
      <c r="N33" s="1372"/>
      <c r="P33" s="1372"/>
      <c r="Q33" s="1372"/>
      <c r="R33" s="1371"/>
      <c r="S33" s="1369"/>
      <c r="T33" s="1382"/>
      <c r="U33" s="1383"/>
      <c r="V33" s="1375"/>
      <c r="W33" s="1375"/>
      <c r="Y33" s="1377"/>
    </row>
    <row r="34" spans="1:28" s="1367" customFormat="1" ht="11.25" customHeight="1">
      <c r="B34" s="1381">
        <v>45686</v>
      </c>
      <c r="C34" s="1366"/>
      <c r="D34" s="1367" t="s">
        <v>1632</v>
      </c>
      <c r="E34" s="1367" t="s">
        <v>664</v>
      </c>
      <c r="F34" s="1367" t="s">
        <v>157</v>
      </c>
      <c r="G34" s="1368" t="s">
        <v>1621</v>
      </c>
      <c r="H34" s="1369" t="s">
        <v>1621</v>
      </c>
      <c r="I34" s="1369" t="s">
        <v>1621</v>
      </c>
      <c r="J34" s="1370">
        <v>45473</v>
      </c>
      <c r="K34" s="1371" t="s">
        <v>1620</v>
      </c>
      <c r="L34" s="1372">
        <v>4.4460160000000002</v>
      </c>
      <c r="M34" s="1372" t="s">
        <v>1648</v>
      </c>
      <c r="N34" s="1372"/>
      <c r="P34" s="1372"/>
      <c r="Q34" s="1372"/>
      <c r="R34" s="1371"/>
      <c r="S34" s="1369"/>
      <c r="T34" s="1382"/>
      <c r="U34" s="1383"/>
      <c r="V34" s="1375"/>
      <c r="W34" s="1375"/>
      <c r="Y34" s="1377"/>
    </row>
    <row r="35" spans="1:28" ht="11.25" customHeight="1">
      <c r="B35" s="844">
        <v>45701</v>
      </c>
      <c r="C35" s="805"/>
      <c r="D35" s="806" t="s">
        <v>1656</v>
      </c>
      <c r="E35" s="806" t="s">
        <v>1202</v>
      </c>
      <c r="F35" s="806" t="s">
        <v>142</v>
      </c>
      <c r="G35" s="807">
        <v>7.16</v>
      </c>
      <c r="H35" s="808">
        <v>9.6</v>
      </c>
      <c r="I35" s="808">
        <v>52.5</v>
      </c>
      <c r="J35" s="816">
        <v>45657</v>
      </c>
      <c r="K35" s="810" t="s">
        <v>47</v>
      </c>
      <c r="L35" s="811">
        <v>68.88</v>
      </c>
      <c r="M35" s="815" t="s">
        <v>1622</v>
      </c>
      <c r="N35" s="815"/>
      <c r="O35" s="815"/>
      <c r="P35" s="811"/>
      <c r="Q35" s="815"/>
      <c r="R35" s="810"/>
      <c r="S35" s="808"/>
      <c r="T35" s="845"/>
      <c r="U35" s="846"/>
      <c r="V35" s="812"/>
      <c r="W35" s="812"/>
    </row>
    <row r="36" spans="1:28" ht="11.25" customHeight="1">
      <c r="B36" s="844">
        <v>45712</v>
      </c>
      <c r="C36" s="805"/>
      <c r="D36" s="806" t="s">
        <v>1657</v>
      </c>
      <c r="E36" s="806" t="s">
        <v>1658</v>
      </c>
      <c r="F36" s="806" t="s">
        <v>1565</v>
      </c>
      <c r="G36" s="807">
        <v>7.19</v>
      </c>
      <c r="H36" s="808">
        <v>9.5</v>
      </c>
      <c r="I36" s="808">
        <v>49.5</v>
      </c>
      <c r="J36" s="816">
        <v>45291</v>
      </c>
      <c r="K36" s="810" t="s">
        <v>1620</v>
      </c>
      <c r="L36" s="811">
        <v>40.613</v>
      </c>
      <c r="M36" s="815" t="s">
        <v>1627</v>
      </c>
      <c r="N36" s="815"/>
      <c r="O36" s="815"/>
      <c r="P36" s="811"/>
      <c r="Q36" s="815"/>
      <c r="R36" s="810"/>
      <c r="S36" s="808"/>
      <c r="T36" s="845"/>
      <c r="U36" s="846"/>
      <c r="V36" s="812"/>
      <c r="W36" s="812"/>
    </row>
    <row r="37" spans="1:28" ht="11.25" customHeight="1">
      <c r="B37" s="844">
        <v>45736</v>
      </c>
      <c r="C37" s="805"/>
      <c r="D37" s="806" t="s">
        <v>1642</v>
      </c>
      <c r="E37" s="806" t="s">
        <v>728</v>
      </c>
      <c r="F37" s="806" t="s">
        <v>178</v>
      </c>
      <c r="G37" s="807">
        <v>7.25</v>
      </c>
      <c r="H37" s="808">
        <v>9.75</v>
      </c>
      <c r="I37" s="808">
        <v>48</v>
      </c>
      <c r="J37" s="816">
        <v>46022</v>
      </c>
      <c r="K37" s="810" t="s">
        <v>47</v>
      </c>
      <c r="L37" s="811">
        <v>3.5680000000000001</v>
      </c>
      <c r="M37" s="815" t="s">
        <v>1627</v>
      </c>
      <c r="N37" s="815"/>
      <c r="O37" s="815"/>
      <c r="P37" s="811"/>
      <c r="Q37" s="815"/>
      <c r="R37" s="810"/>
      <c r="S37" s="808"/>
      <c r="T37" s="845"/>
      <c r="U37" s="846"/>
      <c r="V37" s="812"/>
      <c r="W37" s="812"/>
    </row>
    <row r="38" spans="1:28" s="1367" customFormat="1" ht="11.25" customHeight="1">
      <c r="B38" s="1381">
        <v>45741</v>
      </c>
      <c r="C38" s="1366"/>
      <c r="D38" s="1367" t="s">
        <v>1659</v>
      </c>
      <c r="E38" s="1367" t="s">
        <v>590</v>
      </c>
      <c r="F38" s="1367" t="s">
        <v>200</v>
      </c>
      <c r="G38" s="1368" t="s">
        <v>1621</v>
      </c>
      <c r="H38" s="1369" t="s">
        <v>1621</v>
      </c>
      <c r="I38" s="1369" t="s">
        <v>1621</v>
      </c>
      <c r="J38" s="1379">
        <v>45657</v>
      </c>
      <c r="K38" s="1371" t="s">
        <v>1620</v>
      </c>
      <c r="L38" s="1372">
        <v>0.61161500000000002</v>
      </c>
      <c r="M38" s="1372" t="s">
        <v>1660</v>
      </c>
      <c r="N38" s="1372"/>
      <c r="O38" s="1384"/>
      <c r="P38" s="1372"/>
      <c r="Q38" s="1372"/>
      <c r="R38" s="1371"/>
      <c r="S38" s="1369"/>
      <c r="T38" s="1382"/>
      <c r="U38" s="1383"/>
      <c r="V38" s="1375"/>
      <c r="W38" s="1375"/>
      <c r="Y38" s="1377"/>
    </row>
    <row r="39" spans="1:28" ht="11.25" customHeight="1">
      <c r="B39" s="844">
        <v>45743</v>
      </c>
      <c r="C39" s="805"/>
      <c r="D39" s="806" t="s">
        <v>1661</v>
      </c>
      <c r="E39" s="806" t="s">
        <v>1662</v>
      </c>
      <c r="F39" s="806" t="s">
        <v>1401</v>
      </c>
      <c r="G39" s="807">
        <v>7.03</v>
      </c>
      <c r="H39" s="808">
        <v>9.84</v>
      </c>
      <c r="I39" s="808">
        <v>48.5</v>
      </c>
      <c r="J39" s="816">
        <v>45230</v>
      </c>
      <c r="K39" s="810" t="s">
        <v>1620</v>
      </c>
      <c r="L39" s="811">
        <v>80.241737000000015</v>
      </c>
      <c r="M39" s="811" t="s">
        <v>1290</v>
      </c>
      <c r="N39" s="847"/>
      <c r="O39" s="847"/>
      <c r="P39" s="811"/>
      <c r="Q39" s="815"/>
      <c r="R39" s="810"/>
      <c r="S39" s="808"/>
      <c r="T39" s="845"/>
      <c r="U39" s="846"/>
      <c r="V39" s="812"/>
      <c r="W39" s="812"/>
    </row>
    <row r="40" spans="1:28" ht="11.25" customHeight="1">
      <c r="A40" s="819"/>
      <c r="B40" s="848"/>
      <c r="C40" s="849"/>
      <c r="D40" s="822" t="s">
        <v>1650</v>
      </c>
      <c r="E40" s="823"/>
      <c r="F40" s="850"/>
      <c r="G40" s="851">
        <v>7.24</v>
      </c>
      <c r="H40" s="851">
        <v>9.73</v>
      </c>
      <c r="I40" s="851">
        <v>50.13</v>
      </c>
      <c r="J40" s="852"/>
      <c r="K40" s="851"/>
      <c r="L40" s="853">
        <v>487.9</v>
      </c>
      <c r="M40" s="854"/>
      <c r="N40" s="855"/>
      <c r="O40" s="855"/>
      <c r="P40" s="856"/>
      <c r="Q40" s="815"/>
      <c r="R40" s="857"/>
      <c r="S40" s="857"/>
      <c r="T40" s="812"/>
      <c r="U40" s="818"/>
      <c r="V40" s="818"/>
      <c r="Y40" s="857"/>
      <c r="Z40" s="831"/>
      <c r="AA40" s="831"/>
      <c r="AB40" s="812"/>
    </row>
    <row r="41" spans="1:28" ht="11.25" customHeight="1">
      <c r="B41" s="849"/>
      <c r="C41" s="849"/>
      <c r="D41" s="822" t="s">
        <v>324</v>
      </c>
      <c r="E41" s="823"/>
      <c r="F41" s="850"/>
      <c r="G41" s="858">
        <v>6</v>
      </c>
      <c r="H41" s="858">
        <v>6</v>
      </c>
      <c r="I41" s="858">
        <v>6</v>
      </c>
      <c r="J41" s="859"/>
      <c r="K41" s="860"/>
      <c r="L41" s="858">
        <v>9</v>
      </c>
      <c r="M41" s="770"/>
      <c r="Q41" s="815"/>
      <c r="R41" s="771"/>
      <c r="S41" s="771"/>
      <c r="T41" s="813"/>
      <c r="U41" s="771"/>
      <c r="V41" s="771"/>
    </row>
    <row r="42" spans="1:28" ht="11.25" customHeight="1">
      <c r="B42" s="861"/>
      <c r="C42" s="862"/>
      <c r="D42" s="823"/>
      <c r="E42" s="850"/>
      <c r="F42" s="863"/>
      <c r="G42" s="863"/>
      <c r="H42" s="863"/>
      <c r="I42" s="863"/>
      <c r="J42" s="863"/>
      <c r="K42" s="863"/>
      <c r="L42" s="863"/>
      <c r="M42" s="863"/>
      <c r="N42" s="864"/>
      <c r="O42" s="864"/>
      <c r="P42" s="865"/>
      <c r="Q42" s="863"/>
      <c r="R42" s="863"/>
      <c r="S42" s="866"/>
      <c r="T42" s="863"/>
      <c r="U42" s="863"/>
      <c r="V42" s="863"/>
      <c r="W42" s="863"/>
    </row>
    <row r="43" spans="1:28" ht="11.25" customHeight="1">
      <c r="B43" s="867" t="s">
        <v>1663</v>
      </c>
      <c r="C43" s="863"/>
      <c r="D43" s="863"/>
      <c r="E43" s="868"/>
      <c r="F43" s="868"/>
      <c r="G43" s="868"/>
      <c r="H43" s="863"/>
      <c r="I43" s="868"/>
      <c r="J43" s="863"/>
      <c r="K43" s="868"/>
      <c r="L43" s="863"/>
      <c r="M43" s="863"/>
      <c r="N43" s="864"/>
      <c r="O43" s="864"/>
      <c r="P43" s="865"/>
      <c r="Q43" s="863"/>
      <c r="R43" s="863"/>
      <c r="S43" s="866"/>
      <c r="T43" s="863"/>
      <c r="U43" s="863"/>
      <c r="V43" s="863"/>
      <c r="W43" s="863"/>
    </row>
    <row r="44" spans="1:28" ht="11.25" customHeight="1">
      <c r="B44" s="867" t="s">
        <v>1664</v>
      </c>
      <c r="C44" s="863"/>
      <c r="D44" s="863"/>
      <c r="E44" s="863"/>
      <c r="F44" s="863"/>
      <c r="G44" s="868"/>
      <c r="H44" s="863"/>
      <c r="I44" s="868"/>
      <c r="J44" s="863"/>
      <c r="K44" s="868"/>
      <c r="L44" s="863"/>
      <c r="M44" s="863"/>
      <c r="N44" s="864"/>
      <c r="O44" s="864"/>
      <c r="P44" s="865"/>
      <c r="Q44" s="863"/>
      <c r="R44" s="863"/>
      <c r="S44" s="866"/>
      <c r="T44" s="863"/>
      <c r="U44" s="863"/>
      <c r="V44" s="863"/>
      <c r="W44" s="863"/>
    </row>
    <row r="45" spans="1:28" ht="11.25" customHeight="1">
      <c r="B45" s="867" t="s">
        <v>1665</v>
      </c>
      <c r="C45" s="863"/>
      <c r="D45" s="863"/>
      <c r="E45" s="863"/>
      <c r="F45" s="863"/>
      <c r="G45" s="868"/>
      <c r="H45" s="863"/>
      <c r="I45" s="868"/>
      <c r="J45" s="863"/>
      <c r="K45" s="868"/>
      <c r="L45" s="863"/>
      <c r="M45" s="863"/>
      <c r="N45" s="864"/>
      <c r="O45" s="864"/>
      <c r="P45" s="865"/>
      <c r="Q45" s="863"/>
      <c r="R45" s="863"/>
      <c r="S45" s="866"/>
      <c r="T45" s="863"/>
      <c r="U45" s="863"/>
      <c r="V45" s="863"/>
      <c r="W45" s="863"/>
    </row>
    <row r="46" spans="1:28" ht="11.25" customHeight="1">
      <c r="B46" s="869" t="s">
        <v>1666</v>
      </c>
      <c r="C46" s="863"/>
      <c r="D46" s="863"/>
      <c r="E46" s="863"/>
      <c r="F46" s="870"/>
      <c r="G46" s="868"/>
      <c r="H46" s="863"/>
      <c r="I46" s="868"/>
      <c r="J46" s="863"/>
      <c r="K46" s="868"/>
      <c r="L46" s="863"/>
      <c r="M46" s="863"/>
      <c r="N46" s="864"/>
      <c r="O46" s="864"/>
      <c r="P46" s="865"/>
      <c r="Q46" s="863"/>
      <c r="R46" s="863"/>
      <c r="S46" s="866"/>
      <c r="T46" s="863"/>
      <c r="U46" s="863"/>
      <c r="V46" s="863"/>
      <c r="W46" s="863"/>
    </row>
    <row r="47" spans="1:28" ht="11.25" customHeight="1">
      <c r="B47" s="871"/>
      <c r="C47" s="863"/>
      <c r="D47" s="863"/>
      <c r="E47" s="863"/>
      <c r="F47" s="863"/>
      <c r="G47" s="868"/>
      <c r="H47" s="863"/>
      <c r="I47" s="868"/>
      <c r="J47" s="863"/>
      <c r="K47" s="868"/>
      <c r="L47" s="863"/>
      <c r="M47" s="863"/>
      <c r="N47" s="864"/>
      <c r="O47" s="864"/>
      <c r="P47" s="865"/>
      <c r="Q47" s="863"/>
      <c r="R47" s="863"/>
      <c r="S47" s="866"/>
      <c r="T47" s="863"/>
      <c r="U47" s="863"/>
      <c r="V47" s="863"/>
      <c r="W47" s="863"/>
    </row>
    <row r="48" spans="1:28" ht="11.25" customHeight="1">
      <c r="B48" s="872" t="s">
        <v>1618</v>
      </c>
      <c r="C48" s="873"/>
      <c r="D48" s="873"/>
      <c r="E48" s="873"/>
      <c r="F48" s="873"/>
      <c r="G48" s="873"/>
      <c r="H48" s="873"/>
      <c r="I48" s="873"/>
      <c r="J48" s="873"/>
      <c r="K48" s="873"/>
      <c r="L48" s="873"/>
      <c r="M48" s="873"/>
      <c r="N48" s="864"/>
      <c r="O48" s="864"/>
      <c r="P48" s="865"/>
      <c r="Q48" s="873"/>
      <c r="R48" s="873"/>
      <c r="S48" s="866"/>
      <c r="T48" s="873"/>
      <c r="U48" s="873"/>
      <c r="V48" s="873"/>
      <c r="W48" s="873"/>
    </row>
    <row r="49" spans="2:46" ht="11.25" customHeight="1">
      <c r="B49" s="818" t="s">
        <v>499</v>
      </c>
      <c r="C49" s="812" t="s">
        <v>1667</v>
      </c>
      <c r="D49" s="812"/>
      <c r="E49" s="812"/>
      <c r="F49" s="812"/>
      <c r="G49" s="831"/>
      <c r="H49" s="812"/>
      <c r="I49" s="831"/>
      <c r="J49" s="812"/>
      <c r="K49" s="831"/>
      <c r="L49" s="812"/>
      <c r="M49" s="812"/>
      <c r="Q49" s="812"/>
      <c r="R49" s="812"/>
      <c r="T49" s="812"/>
      <c r="U49" s="812"/>
      <c r="V49" s="812"/>
      <c r="W49" s="863"/>
    </row>
    <row r="50" spans="2:46" ht="11.25" customHeight="1">
      <c r="B50" s="818" t="s">
        <v>1290</v>
      </c>
      <c r="C50" s="812" t="s">
        <v>1668</v>
      </c>
      <c r="D50" s="812"/>
      <c r="E50" s="812"/>
      <c r="F50" s="812"/>
      <c r="G50" s="812"/>
      <c r="H50" s="812"/>
      <c r="I50" s="812"/>
      <c r="J50" s="812"/>
      <c r="K50" s="812"/>
      <c r="L50" s="812"/>
      <c r="M50" s="812"/>
      <c r="Q50" s="812"/>
      <c r="R50" s="812"/>
      <c r="T50" s="812"/>
      <c r="U50" s="812"/>
      <c r="V50" s="812"/>
      <c r="W50" s="863"/>
    </row>
    <row r="51" spans="2:46" ht="11.25" customHeight="1">
      <c r="B51" s="818" t="s">
        <v>138</v>
      </c>
      <c r="C51" s="812" t="s">
        <v>1669</v>
      </c>
      <c r="D51" s="812"/>
      <c r="E51" s="812"/>
      <c r="F51" s="812"/>
      <c r="G51" s="831"/>
      <c r="H51" s="812"/>
      <c r="I51" s="831"/>
      <c r="J51" s="812"/>
      <c r="K51" s="831"/>
      <c r="L51" s="812"/>
      <c r="M51" s="812"/>
      <c r="Q51" s="812"/>
      <c r="R51" s="812"/>
      <c r="T51" s="812"/>
      <c r="U51" s="812"/>
      <c r="V51" s="812"/>
      <c r="W51" s="863"/>
    </row>
    <row r="52" spans="2:46" ht="11.25" customHeight="1">
      <c r="B52" s="818" t="s">
        <v>1636</v>
      </c>
      <c r="C52" s="812" t="s">
        <v>1670</v>
      </c>
      <c r="D52" s="812"/>
      <c r="E52" s="812"/>
      <c r="F52" s="812"/>
      <c r="G52" s="831"/>
      <c r="H52" s="812"/>
      <c r="I52" s="831"/>
      <c r="J52" s="812"/>
      <c r="K52" s="831"/>
      <c r="L52" s="812"/>
      <c r="M52" s="812"/>
      <c r="Q52" s="812"/>
      <c r="R52" s="812"/>
      <c r="T52" s="812"/>
      <c r="U52" s="812"/>
      <c r="V52" s="812"/>
      <c r="W52" s="863"/>
    </row>
    <row r="53" spans="2:46" ht="11.25" customHeight="1">
      <c r="B53" s="818" t="s">
        <v>1671</v>
      </c>
      <c r="C53" s="812" t="s">
        <v>1672</v>
      </c>
      <c r="D53" s="812"/>
      <c r="E53" s="812"/>
      <c r="F53" s="812"/>
      <c r="G53" s="831"/>
      <c r="H53" s="812"/>
      <c r="I53" s="831"/>
      <c r="J53" s="812"/>
      <c r="K53" s="831"/>
      <c r="L53" s="812"/>
      <c r="M53" s="812"/>
      <c r="Q53" s="812"/>
      <c r="R53" s="812"/>
      <c r="T53" s="812"/>
      <c r="U53" s="812"/>
      <c r="V53" s="812"/>
      <c r="W53" s="863"/>
    </row>
    <row r="54" spans="2:46" ht="11.25" customHeight="1">
      <c r="B54" s="818" t="s">
        <v>1119</v>
      </c>
      <c r="C54" s="812" t="s">
        <v>1673</v>
      </c>
      <c r="D54" s="812"/>
      <c r="E54" s="812"/>
      <c r="F54" s="812"/>
      <c r="G54" s="831"/>
      <c r="H54" s="812"/>
      <c r="I54" s="831"/>
      <c r="J54" s="812"/>
      <c r="K54" s="831"/>
      <c r="L54" s="812"/>
      <c r="M54" s="812"/>
      <c r="Q54" s="812"/>
      <c r="R54" s="812"/>
      <c r="T54" s="812"/>
      <c r="U54" s="812"/>
      <c r="V54" s="812"/>
      <c r="W54" s="863"/>
    </row>
    <row r="55" spans="2:46" ht="11.25" customHeight="1">
      <c r="B55" s="818" t="s">
        <v>1674</v>
      </c>
      <c r="C55" s="812" t="s">
        <v>1675</v>
      </c>
      <c r="D55" s="812"/>
      <c r="E55" s="812"/>
      <c r="F55" s="812"/>
      <c r="G55" s="831"/>
      <c r="H55" s="812"/>
      <c r="I55" s="831"/>
      <c r="J55" s="812"/>
      <c r="K55" s="831"/>
      <c r="L55" s="812"/>
      <c r="M55" s="812"/>
      <c r="Q55" s="812"/>
      <c r="R55" s="812"/>
      <c r="T55" s="812"/>
      <c r="U55" s="812"/>
      <c r="V55" s="812"/>
      <c r="W55" s="863"/>
    </row>
    <row r="56" spans="2:46" s="881" customFormat="1" ht="11.15" customHeight="1">
      <c r="B56" s="874" t="s">
        <v>1624</v>
      </c>
      <c r="C56" s="1427" t="s">
        <v>1676</v>
      </c>
      <c r="D56" s="1427"/>
      <c r="E56" s="1427"/>
      <c r="F56" s="1427"/>
      <c r="G56" s="1428"/>
      <c r="H56" s="1427"/>
      <c r="I56" s="1428"/>
      <c r="J56" s="1427"/>
      <c r="K56" s="1428"/>
      <c r="L56" s="1427"/>
      <c r="M56" s="1427"/>
      <c r="N56" s="876"/>
      <c r="O56" s="876"/>
      <c r="P56" s="877"/>
      <c r="Q56" s="875"/>
      <c r="R56" s="875"/>
      <c r="S56" s="877"/>
      <c r="T56" s="878"/>
      <c r="U56" s="875"/>
      <c r="V56" s="875"/>
      <c r="W56" s="879"/>
      <c r="X56" s="880"/>
      <c r="Y56" s="867"/>
      <c r="Z56" s="880"/>
      <c r="AA56" s="880"/>
      <c r="AB56" s="880"/>
      <c r="AC56" s="880"/>
      <c r="AD56" s="880"/>
      <c r="AE56" s="880"/>
      <c r="AF56" s="880"/>
      <c r="AG56" s="880"/>
      <c r="AH56" s="880"/>
      <c r="AI56" s="880"/>
      <c r="AJ56" s="880"/>
      <c r="AK56" s="880"/>
      <c r="AL56" s="880"/>
      <c r="AM56" s="880"/>
      <c r="AN56" s="880"/>
      <c r="AO56" s="880"/>
      <c r="AP56" s="880"/>
      <c r="AQ56" s="880"/>
      <c r="AR56" s="880"/>
      <c r="AS56" s="880"/>
      <c r="AT56" s="880"/>
    </row>
    <row r="57" spans="2:46" s="881" customFormat="1" ht="11.15" customHeight="1">
      <c r="B57" s="874" t="s">
        <v>1628</v>
      </c>
      <c r="C57" s="1427" t="s">
        <v>1677</v>
      </c>
      <c r="D57" s="1427"/>
      <c r="E57" s="1427"/>
      <c r="F57" s="1427"/>
      <c r="G57" s="1428"/>
      <c r="H57" s="1427"/>
      <c r="I57" s="1428"/>
      <c r="J57" s="1427"/>
      <c r="K57" s="1428"/>
      <c r="L57" s="1427"/>
      <c r="M57" s="1427"/>
      <c r="N57" s="876"/>
      <c r="O57" s="876"/>
      <c r="P57" s="877"/>
      <c r="Q57" s="875"/>
      <c r="R57" s="875"/>
      <c r="S57" s="877"/>
      <c r="T57" s="878"/>
      <c r="U57" s="875"/>
      <c r="V57" s="875"/>
      <c r="W57" s="879"/>
      <c r="X57" s="880"/>
      <c r="Y57" s="867"/>
      <c r="Z57" s="880"/>
      <c r="AA57" s="880"/>
      <c r="AB57" s="880"/>
      <c r="AC57" s="880"/>
      <c r="AD57" s="880"/>
      <c r="AE57" s="880"/>
      <c r="AF57" s="880"/>
      <c r="AG57" s="880"/>
      <c r="AH57" s="880"/>
      <c r="AI57" s="880"/>
      <c r="AJ57" s="880"/>
      <c r="AK57" s="880"/>
      <c r="AL57" s="880"/>
      <c r="AM57" s="880"/>
      <c r="AN57" s="880"/>
      <c r="AO57" s="880"/>
      <c r="AP57" s="880"/>
      <c r="AQ57" s="880"/>
      <c r="AR57" s="880"/>
      <c r="AS57" s="880"/>
      <c r="AT57" s="880"/>
    </row>
    <row r="58" spans="2:46" ht="11.25" customHeight="1">
      <c r="B58" s="768"/>
      <c r="C58" s="812"/>
      <c r="D58" s="769"/>
      <c r="E58" s="769"/>
      <c r="F58" s="769"/>
      <c r="G58" s="769"/>
      <c r="H58" s="769"/>
      <c r="I58" s="769"/>
      <c r="J58" s="769"/>
      <c r="K58" s="769"/>
      <c r="L58" s="769"/>
      <c r="M58" s="769"/>
      <c r="W58" s="871"/>
    </row>
    <row r="59" spans="2:46" ht="11.25" customHeight="1">
      <c r="B59" s="771">
        <v>1</v>
      </c>
      <c r="C59" s="771" t="s">
        <v>1678</v>
      </c>
      <c r="D59" s="769"/>
      <c r="E59" s="769"/>
      <c r="F59" s="769"/>
      <c r="G59" s="769"/>
      <c r="H59" s="769"/>
      <c r="I59" s="769"/>
      <c r="J59" s="769"/>
      <c r="K59" s="769"/>
      <c r="L59" s="769"/>
      <c r="M59" s="769"/>
      <c r="W59" s="871"/>
    </row>
    <row r="60" spans="2:46" ht="11.25" customHeight="1">
      <c r="B60" s="771">
        <v>2</v>
      </c>
      <c r="C60" s="882" t="s">
        <v>1679</v>
      </c>
      <c r="D60" s="769"/>
      <c r="E60" s="769"/>
      <c r="F60" s="769"/>
      <c r="G60" s="769"/>
      <c r="H60" s="769"/>
      <c r="I60" s="769"/>
      <c r="J60" s="769"/>
      <c r="K60" s="769"/>
      <c r="L60" s="769"/>
      <c r="M60" s="769"/>
      <c r="W60" s="871"/>
    </row>
    <row r="61" spans="2:46" ht="11.25" customHeight="1">
      <c r="B61" s="771">
        <v>3</v>
      </c>
      <c r="C61" s="769" t="s">
        <v>1680</v>
      </c>
      <c r="D61" s="769"/>
      <c r="E61" s="769"/>
      <c r="F61" s="769"/>
      <c r="G61" s="769"/>
      <c r="H61" s="769"/>
      <c r="I61" s="769"/>
      <c r="J61" s="769"/>
      <c r="K61" s="769"/>
      <c r="L61" s="769"/>
      <c r="M61" s="769"/>
      <c r="W61" s="871"/>
    </row>
    <row r="62" spans="2:46" ht="11.25" customHeight="1">
      <c r="B62" s="771">
        <v>4</v>
      </c>
      <c r="C62" s="769" t="s">
        <v>1681</v>
      </c>
      <c r="D62" s="769"/>
      <c r="E62" s="769"/>
      <c r="F62" s="769"/>
      <c r="G62" s="769"/>
      <c r="H62" s="769"/>
      <c r="I62" s="769"/>
      <c r="J62" s="769"/>
      <c r="K62" s="769"/>
      <c r="L62" s="769"/>
      <c r="M62" s="769"/>
      <c r="W62" s="871"/>
    </row>
    <row r="63" spans="2:46" ht="11.25" customHeight="1">
      <c r="B63" s="771">
        <v>5</v>
      </c>
      <c r="C63" s="880" t="s">
        <v>1682</v>
      </c>
      <c r="D63" s="769"/>
      <c r="E63" s="769"/>
      <c r="F63" s="769"/>
      <c r="G63" s="769"/>
      <c r="H63" s="769"/>
      <c r="I63" s="769"/>
      <c r="J63" s="769"/>
      <c r="K63" s="769"/>
      <c r="L63" s="769"/>
      <c r="M63" s="769"/>
      <c r="W63" s="871"/>
    </row>
    <row r="64" spans="2:46" ht="11.25" customHeight="1">
      <c r="B64" s="771"/>
      <c r="C64" s="769"/>
      <c r="D64" s="769"/>
      <c r="E64" s="769"/>
      <c r="F64" s="769"/>
      <c r="G64" s="769"/>
      <c r="H64" s="769"/>
      <c r="I64" s="769"/>
      <c r="J64" s="769"/>
      <c r="K64" s="769"/>
      <c r="L64" s="769"/>
      <c r="M64" s="769"/>
      <c r="W64" s="871"/>
    </row>
    <row r="65" spans="1:23" ht="11.25" customHeight="1">
      <c r="B65" s="771"/>
      <c r="C65" s="815"/>
      <c r="D65" s="769"/>
      <c r="E65" s="769"/>
      <c r="F65" s="769"/>
      <c r="G65" s="769"/>
      <c r="H65" s="769"/>
      <c r="I65" s="769"/>
      <c r="J65" s="769"/>
      <c r="K65" s="769"/>
      <c r="L65" s="769"/>
      <c r="M65" s="769"/>
      <c r="W65" s="871"/>
    </row>
    <row r="66" spans="1:23" ht="11.25" customHeight="1">
      <c r="B66" s="771"/>
      <c r="C66" s="815"/>
      <c r="D66" s="769"/>
      <c r="E66" s="769"/>
      <c r="F66" s="769"/>
      <c r="G66" s="769"/>
      <c r="H66" s="769"/>
      <c r="I66" s="769"/>
      <c r="J66" s="769"/>
      <c r="K66" s="769"/>
      <c r="L66" s="769"/>
      <c r="M66" s="769"/>
      <c r="W66" s="871"/>
    </row>
    <row r="67" spans="1:23" ht="11.25" customHeight="1">
      <c r="B67" s="771"/>
      <c r="C67" s="815"/>
      <c r="D67" s="769"/>
      <c r="E67" s="769"/>
      <c r="F67" s="769"/>
      <c r="G67" s="769"/>
      <c r="H67" s="769"/>
      <c r="I67" s="769"/>
      <c r="J67" s="769"/>
      <c r="K67" s="769"/>
      <c r="L67" s="769"/>
      <c r="M67" s="769"/>
      <c r="W67" s="871"/>
    </row>
    <row r="68" spans="1:23" ht="11.25" customHeight="1">
      <c r="B68" s="771"/>
      <c r="C68" s="880"/>
      <c r="D68" s="769"/>
      <c r="E68" s="769"/>
      <c r="F68" s="769"/>
      <c r="G68" s="769"/>
      <c r="H68" s="769"/>
      <c r="I68" s="769"/>
      <c r="J68" s="769"/>
      <c r="K68" s="769"/>
      <c r="L68" s="769"/>
      <c r="M68" s="769"/>
      <c r="W68" s="871"/>
    </row>
    <row r="69" spans="1:23" ht="11.25" customHeight="1">
      <c r="B69" s="771"/>
      <c r="C69" s="818"/>
      <c r="D69" s="769"/>
      <c r="E69" s="769"/>
      <c r="F69" s="769"/>
      <c r="G69" s="769"/>
      <c r="H69" s="769"/>
      <c r="I69" s="769"/>
      <c r="J69" s="769"/>
      <c r="K69" s="769"/>
      <c r="L69" s="769"/>
      <c r="M69" s="769"/>
      <c r="W69" s="871"/>
    </row>
    <row r="70" spans="1:23" ht="11.25" customHeight="1">
      <c r="B70" s="771"/>
      <c r="C70" s="818"/>
      <c r="D70" s="769"/>
      <c r="E70" s="769"/>
      <c r="F70" s="769"/>
      <c r="G70" s="769"/>
      <c r="H70" s="769"/>
      <c r="I70" s="769"/>
      <c r="J70" s="769"/>
      <c r="K70" s="769"/>
      <c r="L70" s="769"/>
      <c r="M70" s="769"/>
      <c r="W70" s="871"/>
    </row>
    <row r="71" spans="1:23" ht="11.25" customHeight="1">
      <c r="B71" s="771"/>
      <c r="C71" s="818"/>
      <c r="D71" s="769"/>
      <c r="E71" s="769"/>
      <c r="F71" s="769"/>
      <c r="G71" s="769"/>
      <c r="H71" s="769"/>
      <c r="I71" s="769"/>
      <c r="J71" s="769"/>
      <c r="K71" s="769"/>
      <c r="L71" s="769"/>
      <c r="M71" s="769"/>
      <c r="W71" s="871"/>
    </row>
    <row r="72" spans="1:23" ht="11.25" customHeight="1">
      <c r="B72" s="771"/>
      <c r="C72" s="818"/>
      <c r="D72" s="769"/>
      <c r="E72" s="769"/>
      <c r="F72" s="769"/>
      <c r="G72" s="769"/>
      <c r="H72" s="769"/>
      <c r="I72" s="769"/>
      <c r="J72" s="769"/>
      <c r="K72" s="769"/>
      <c r="L72" s="769"/>
      <c r="M72" s="769"/>
      <c r="W72" s="871"/>
    </row>
    <row r="73" spans="1:23" ht="11.25" customHeight="1">
      <c r="B73" s="771"/>
      <c r="C73" s="769"/>
      <c r="D73" s="769"/>
      <c r="E73" s="769"/>
      <c r="F73" s="769"/>
      <c r="G73" s="769"/>
      <c r="H73" s="769"/>
      <c r="I73" s="769"/>
      <c r="J73" s="769"/>
      <c r="K73" s="769"/>
      <c r="L73" s="769"/>
      <c r="M73" s="769"/>
      <c r="W73" s="871"/>
    </row>
    <row r="74" spans="1:23" ht="11.25" customHeight="1">
      <c r="B74" s="771"/>
      <c r="C74" s="818"/>
      <c r="D74" s="769"/>
      <c r="E74" s="769"/>
      <c r="F74" s="769"/>
      <c r="G74" s="769"/>
      <c r="H74" s="769"/>
      <c r="I74" s="769"/>
      <c r="J74" s="769"/>
      <c r="K74" s="769"/>
      <c r="L74" s="769"/>
      <c r="M74" s="769"/>
      <c r="W74" s="871"/>
    </row>
    <row r="75" spans="1:23" ht="11.25" customHeight="1">
      <c r="B75" s="771"/>
      <c r="C75" s="818"/>
      <c r="D75" s="769"/>
      <c r="E75" s="769"/>
      <c r="F75" s="769"/>
      <c r="G75" s="769"/>
      <c r="H75" s="769"/>
      <c r="I75" s="769"/>
      <c r="J75" s="769"/>
      <c r="K75" s="769"/>
      <c r="L75" s="769"/>
      <c r="M75" s="769"/>
      <c r="W75" s="871"/>
    </row>
    <row r="76" spans="1:23" ht="11.25" customHeight="1">
      <c r="B76" s="771"/>
      <c r="C76" s="818"/>
      <c r="D76" s="769"/>
      <c r="E76" s="769"/>
      <c r="F76" s="769"/>
      <c r="G76" s="769"/>
      <c r="H76" s="769"/>
      <c r="I76" s="769"/>
      <c r="J76" s="769"/>
      <c r="K76" s="769"/>
      <c r="L76" s="769"/>
      <c r="M76" s="769"/>
      <c r="W76" s="871"/>
    </row>
    <row r="77" spans="1:23" ht="11.25" customHeight="1">
      <c r="B77" s="771"/>
      <c r="C77" s="812"/>
      <c r="D77" s="769"/>
      <c r="E77" s="769"/>
      <c r="F77" s="769"/>
      <c r="G77" s="769"/>
      <c r="H77" s="769"/>
      <c r="I77" s="769"/>
      <c r="J77" s="769"/>
      <c r="K77" s="769"/>
      <c r="L77" s="769"/>
      <c r="M77" s="769"/>
      <c r="W77" s="871"/>
    </row>
    <row r="78" spans="1:23" ht="11.25" customHeight="1">
      <c r="A78" s="882"/>
      <c r="B78" s="771"/>
      <c r="C78" s="812"/>
      <c r="D78" s="769"/>
      <c r="E78" s="769"/>
      <c r="F78" s="769"/>
      <c r="G78" s="769"/>
      <c r="H78" s="769"/>
      <c r="I78" s="769"/>
      <c r="J78" s="769"/>
      <c r="K78" s="769"/>
      <c r="L78" s="769"/>
      <c r="M78" s="769"/>
      <c r="W78" s="871"/>
    </row>
    <row r="79" spans="1:23" ht="11.25" customHeight="1">
      <c r="A79" s="882"/>
      <c r="B79" s="882"/>
      <c r="C79" s="812"/>
      <c r="D79" s="769"/>
      <c r="E79" s="769"/>
      <c r="F79" s="769"/>
      <c r="G79" s="769"/>
      <c r="H79" s="769"/>
      <c r="I79" s="769"/>
      <c r="J79" s="769"/>
      <c r="K79" s="769"/>
      <c r="L79" s="769"/>
      <c r="M79" s="769"/>
      <c r="W79" s="871"/>
    </row>
    <row r="80" spans="1:23" ht="11.25" customHeight="1">
      <c r="A80" s="882"/>
      <c r="B80" s="882"/>
      <c r="C80" s="812"/>
      <c r="D80" s="769"/>
      <c r="E80" s="769"/>
      <c r="F80" s="769"/>
      <c r="G80" s="769"/>
      <c r="H80" s="769"/>
      <c r="I80" s="769"/>
      <c r="J80" s="769"/>
      <c r="K80" s="769"/>
      <c r="L80" s="769"/>
      <c r="M80" s="769"/>
      <c r="W80" s="871"/>
    </row>
    <row r="81" spans="1:23" ht="11.25" customHeight="1">
      <c r="A81" s="882"/>
      <c r="B81" s="882"/>
      <c r="C81" s="812"/>
      <c r="D81" s="769"/>
      <c r="E81" s="769"/>
      <c r="F81" s="769"/>
      <c r="G81" s="769"/>
      <c r="H81" s="769"/>
      <c r="I81" s="769"/>
      <c r="J81" s="769"/>
      <c r="K81" s="769"/>
      <c r="L81" s="769"/>
      <c r="M81" s="769"/>
      <c r="W81" s="871"/>
    </row>
    <row r="82" spans="1:23" ht="11.25" customHeight="1">
      <c r="A82" s="771"/>
      <c r="B82" s="771"/>
      <c r="C82" s="880"/>
      <c r="D82" s="769"/>
      <c r="E82" s="769"/>
      <c r="F82" s="769"/>
      <c r="G82" s="769"/>
      <c r="H82" s="769"/>
      <c r="I82" s="769"/>
      <c r="J82" s="769"/>
      <c r="K82" s="769"/>
      <c r="L82" s="769"/>
      <c r="M82" s="769"/>
      <c r="W82" s="871"/>
    </row>
    <row r="83" spans="1:23" ht="11.25" customHeight="1">
      <c r="A83" s="771"/>
      <c r="B83" s="771"/>
      <c r="C83" s="771"/>
      <c r="D83" s="769"/>
      <c r="E83" s="769"/>
      <c r="F83" s="769"/>
      <c r="G83" s="769"/>
      <c r="H83" s="769"/>
      <c r="I83" s="769"/>
      <c r="J83" s="769"/>
      <c r="K83" s="769"/>
      <c r="L83" s="769"/>
      <c r="M83" s="769"/>
      <c r="W83" s="871"/>
    </row>
    <row r="84" spans="1:23" ht="11.25" customHeight="1">
      <c r="A84" s="771"/>
      <c r="B84" s="771"/>
      <c r="C84" s="883"/>
      <c r="D84" s="769"/>
      <c r="E84" s="769"/>
      <c r="F84" s="769"/>
      <c r="G84" s="769"/>
      <c r="H84" s="769"/>
      <c r="I84" s="769"/>
      <c r="J84" s="769"/>
      <c r="K84" s="769"/>
      <c r="L84" s="769"/>
      <c r="M84" s="769"/>
      <c r="W84" s="871"/>
    </row>
    <row r="85" spans="1:23" ht="11.25" customHeight="1">
      <c r="A85" s="771"/>
      <c r="B85" s="771"/>
      <c r="C85" s="883"/>
      <c r="D85" s="883"/>
      <c r="E85" s="769"/>
      <c r="F85" s="769"/>
      <c r="G85" s="769"/>
      <c r="H85" s="769"/>
      <c r="I85" s="769"/>
      <c r="J85" s="769"/>
      <c r="K85" s="769"/>
      <c r="L85" s="769"/>
      <c r="M85" s="769"/>
      <c r="W85" s="871"/>
    </row>
    <row r="86" spans="1:23" ht="11.25" customHeight="1">
      <c r="A86" s="771"/>
      <c r="B86" s="771"/>
      <c r="C86" s="769"/>
      <c r="D86" s="769"/>
      <c r="E86" s="769"/>
      <c r="F86" s="769"/>
      <c r="G86" s="769"/>
      <c r="H86" s="769"/>
      <c r="I86" s="769"/>
      <c r="J86" s="769"/>
      <c r="K86" s="769"/>
      <c r="L86" s="769"/>
      <c r="M86" s="769"/>
      <c r="W86" s="871"/>
    </row>
    <row r="87" spans="1:23" ht="11.25" customHeight="1">
      <c r="A87" s="771"/>
      <c r="B87" s="771"/>
      <c r="C87" s="769"/>
      <c r="D87" s="769"/>
      <c r="E87" s="769"/>
      <c r="F87" s="769"/>
      <c r="G87" s="769"/>
      <c r="H87" s="769"/>
      <c r="I87" s="769"/>
      <c r="J87" s="769"/>
      <c r="K87" s="769"/>
      <c r="L87" s="769"/>
      <c r="M87" s="769"/>
      <c r="W87" s="871"/>
    </row>
    <row r="88" spans="1:23" ht="11.25" customHeight="1">
      <c r="A88" s="771"/>
      <c r="B88" s="771"/>
      <c r="C88" s="769"/>
      <c r="D88" s="769"/>
      <c r="E88" s="769"/>
      <c r="F88" s="769"/>
      <c r="G88" s="769"/>
      <c r="H88" s="769"/>
      <c r="I88" s="769"/>
      <c r="J88" s="769"/>
      <c r="K88" s="769"/>
      <c r="L88" s="769"/>
      <c r="M88" s="769"/>
      <c r="W88" s="871"/>
    </row>
    <row r="89" spans="1:23" ht="11.25" customHeight="1">
      <c r="A89" s="771"/>
      <c r="B89" s="771"/>
      <c r="C89" s="883"/>
      <c r="D89" s="769"/>
      <c r="E89" s="769"/>
      <c r="F89" s="769"/>
      <c r="G89" s="769"/>
      <c r="H89" s="769"/>
      <c r="I89" s="769"/>
      <c r="J89" s="769"/>
      <c r="K89" s="769"/>
      <c r="L89" s="769"/>
      <c r="M89" s="769"/>
      <c r="W89" s="871"/>
    </row>
    <row r="90" spans="1:23" ht="11.25" customHeight="1">
      <c r="A90" s="882"/>
      <c r="B90" s="882"/>
      <c r="C90" s="768"/>
      <c r="D90" s="769"/>
      <c r="E90" s="769"/>
      <c r="F90" s="769"/>
      <c r="G90" s="769"/>
      <c r="H90" s="769"/>
      <c r="I90" s="769"/>
      <c r="J90" s="769"/>
      <c r="K90" s="769"/>
      <c r="L90" s="769"/>
      <c r="M90" s="769"/>
      <c r="W90" s="871"/>
    </row>
    <row r="91" spans="1:23" ht="11.25" customHeight="1">
      <c r="B91" s="771"/>
      <c r="C91" s="769"/>
      <c r="D91" s="769"/>
      <c r="E91" s="769"/>
      <c r="F91" s="769"/>
      <c r="G91" s="769"/>
      <c r="H91" s="769"/>
      <c r="I91" s="769"/>
      <c r="J91" s="769"/>
      <c r="K91" s="769"/>
      <c r="L91" s="769"/>
      <c r="M91" s="769"/>
      <c r="W91" s="871"/>
    </row>
    <row r="92" spans="1:23" ht="11.25" customHeight="1">
      <c r="B92" s="771"/>
      <c r="C92" s="769"/>
      <c r="D92" s="769"/>
      <c r="E92" s="769"/>
      <c r="F92" s="769"/>
      <c r="G92" s="769"/>
      <c r="H92" s="769"/>
      <c r="I92" s="769"/>
      <c r="J92" s="769"/>
      <c r="K92" s="769"/>
      <c r="L92" s="769"/>
      <c r="M92" s="769"/>
      <c r="W92" s="871"/>
    </row>
    <row r="93" spans="1:23" ht="11.25" customHeight="1">
      <c r="B93" s="771"/>
      <c r="C93" s="769"/>
      <c r="D93" s="769"/>
      <c r="E93" s="769"/>
      <c r="F93" s="769"/>
      <c r="G93" s="769"/>
      <c r="H93" s="769"/>
      <c r="I93" s="769"/>
      <c r="J93" s="769"/>
      <c r="K93" s="769"/>
      <c r="L93" s="769"/>
      <c r="M93" s="769"/>
      <c r="W93" s="871"/>
    </row>
    <row r="94" spans="1:23" ht="11.25" customHeight="1">
      <c r="B94" s="771"/>
      <c r="C94" s="769"/>
      <c r="D94" s="769"/>
      <c r="E94" s="769"/>
      <c r="F94" s="769"/>
      <c r="G94" s="769"/>
      <c r="H94" s="769"/>
      <c r="I94" s="769"/>
      <c r="J94" s="769"/>
      <c r="K94" s="769"/>
      <c r="L94" s="769"/>
      <c r="M94" s="769"/>
      <c r="W94" s="871"/>
    </row>
    <row r="95" spans="1:23" ht="11.25" customHeight="1">
      <c r="B95" s="771"/>
      <c r="C95" s="812"/>
      <c r="D95" s="884"/>
      <c r="E95" s="884"/>
      <c r="F95" s="884"/>
      <c r="G95" s="884"/>
      <c r="H95" s="884"/>
      <c r="I95" s="884"/>
      <c r="J95" s="884"/>
      <c r="K95" s="884"/>
      <c r="L95" s="884"/>
      <c r="M95" s="884"/>
      <c r="N95" s="885"/>
      <c r="O95" s="885"/>
      <c r="P95" s="886"/>
      <c r="Q95" s="884"/>
      <c r="R95" s="884"/>
      <c r="S95" s="886"/>
      <c r="W95" s="871"/>
    </row>
    <row r="96" spans="1:23" ht="11.25" customHeight="1">
      <c r="B96" s="771"/>
      <c r="C96" s="769"/>
      <c r="D96" s="812"/>
      <c r="E96" s="812"/>
      <c r="F96" s="812"/>
      <c r="G96" s="812"/>
      <c r="H96" s="812"/>
      <c r="I96" s="812"/>
      <c r="J96" s="812"/>
      <c r="K96" s="812"/>
      <c r="L96" s="812"/>
      <c r="M96" s="812"/>
      <c r="Q96" s="812"/>
      <c r="R96" s="812"/>
      <c r="T96" s="887"/>
      <c r="U96" s="884"/>
      <c r="W96" s="871"/>
    </row>
    <row r="97" spans="2:46" ht="11.25" customHeight="1">
      <c r="B97" s="771"/>
      <c r="C97" s="769"/>
      <c r="D97" s="812"/>
      <c r="E97" s="812"/>
      <c r="F97" s="812"/>
      <c r="G97" s="812"/>
      <c r="H97" s="812"/>
      <c r="I97" s="812"/>
      <c r="J97" s="812"/>
      <c r="K97" s="812"/>
      <c r="L97" s="812"/>
      <c r="M97" s="812"/>
      <c r="Q97" s="812"/>
      <c r="R97" s="812"/>
    </row>
    <row r="98" spans="2:46" ht="11.25" customHeight="1">
      <c r="B98" s="771"/>
      <c r="C98" s="769"/>
      <c r="D98" s="812"/>
      <c r="E98" s="812"/>
      <c r="F98" s="812"/>
      <c r="G98" s="812"/>
      <c r="H98" s="812"/>
      <c r="I98" s="812"/>
      <c r="J98" s="812"/>
      <c r="K98" s="812"/>
      <c r="L98" s="812"/>
      <c r="M98" s="812"/>
      <c r="Q98" s="812"/>
      <c r="R98" s="812"/>
    </row>
    <row r="99" spans="2:46" ht="11.25" customHeight="1">
      <c r="B99" s="771"/>
      <c r="C99" s="812"/>
      <c r="D99" s="812"/>
      <c r="E99" s="812"/>
      <c r="F99" s="812"/>
      <c r="G99" s="812"/>
      <c r="H99" s="812"/>
      <c r="I99" s="812"/>
      <c r="J99" s="812"/>
      <c r="K99" s="812"/>
      <c r="L99" s="812"/>
      <c r="M99" s="812"/>
      <c r="Q99" s="812"/>
      <c r="R99" s="812"/>
      <c r="T99" s="812"/>
      <c r="U99" s="812"/>
      <c r="V99" s="812"/>
      <c r="W99" s="812"/>
    </row>
    <row r="100" spans="2:46" ht="11.25" customHeight="1">
      <c r="B100" s="771"/>
      <c r="C100" s="771"/>
      <c r="D100" s="812"/>
      <c r="E100" s="812"/>
      <c r="F100" s="812"/>
      <c r="G100" s="812"/>
      <c r="H100" s="812"/>
      <c r="I100" s="812"/>
      <c r="J100" s="812"/>
      <c r="K100" s="812"/>
      <c r="L100" s="812"/>
      <c r="M100" s="812"/>
      <c r="Q100" s="812"/>
      <c r="R100" s="812"/>
      <c r="T100" s="812"/>
      <c r="U100" s="812"/>
      <c r="V100" s="812"/>
      <c r="W100" s="812"/>
    </row>
    <row r="101" spans="2:46" ht="11.25" customHeight="1">
      <c r="B101" s="771"/>
      <c r="C101" s="771"/>
      <c r="D101" s="812"/>
      <c r="E101" s="812"/>
      <c r="F101" s="812"/>
      <c r="G101" s="812"/>
      <c r="H101" s="812"/>
      <c r="I101" s="812"/>
      <c r="J101" s="812"/>
      <c r="K101" s="812"/>
      <c r="L101" s="812"/>
      <c r="M101" s="812"/>
      <c r="Q101" s="812"/>
      <c r="R101" s="812"/>
      <c r="T101" s="812"/>
      <c r="U101" s="812"/>
      <c r="V101" s="812"/>
      <c r="W101" s="812"/>
    </row>
    <row r="102" spans="2:46" s="881" customFormat="1" ht="11.25" customHeight="1">
      <c r="B102" s="888"/>
      <c r="C102" s="880"/>
      <c r="D102" s="880"/>
      <c r="E102" s="880"/>
      <c r="F102" s="889"/>
      <c r="G102" s="889"/>
      <c r="H102" s="889"/>
      <c r="I102" s="889"/>
      <c r="J102" s="889"/>
      <c r="K102" s="889"/>
      <c r="L102" s="889"/>
      <c r="M102" s="889"/>
      <c r="N102" s="890"/>
      <c r="O102" s="890"/>
      <c r="P102" s="888"/>
      <c r="Q102" s="889"/>
      <c r="R102" s="889"/>
      <c r="S102" s="891"/>
      <c r="T102" s="889"/>
      <c r="U102" s="889"/>
      <c r="V102" s="889"/>
      <c r="W102" s="889"/>
      <c r="X102" s="880"/>
      <c r="Y102" s="867"/>
      <c r="Z102" s="880"/>
      <c r="AA102" s="880"/>
      <c r="AB102" s="880"/>
      <c r="AC102" s="880"/>
      <c r="AD102" s="880"/>
      <c r="AE102" s="880"/>
      <c r="AF102" s="880"/>
      <c r="AG102" s="880"/>
      <c r="AH102" s="880"/>
      <c r="AI102" s="880"/>
      <c r="AJ102" s="880"/>
      <c r="AK102" s="880"/>
      <c r="AL102" s="880"/>
      <c r="AM102" s="880"/>
      <c r="AN102" s="880"/>
      <c r="AO102" s="880"/>
      <c r="AP102" s="880"/>
      <c r="AQ102" s="880"/>
      <c r="AR102" s="880"/>
      <c r="AS102" s="880"/>
      <c r="AT102" s="880"/>
    </row>
    <row r="103" spans="2:46" s="881" customFormat="1" ht="11.25" customHeight="1">
      <c r="B103" s="888"/>
      <c r="C103" s="880"/>
      <c r="D103" s="880"/>
      <c r="E103" s="880"/>
      <c r="F103" s="889"/>
      <c r="G103" s="889"/>
      <c r="H103" s="889"/>
      <c r="I103" s="889"/>
      <c r="J103" s="889"/>
      <c r="K103" s="889"/>
      <c r="L103" s="889"/>
      <c r="M103" s="889"/>
      <c r="N103" s="890"/>
      <c r="O103" s="890"/>
      <c r="P103" s="888"/>
      <c r="Q103" s="889"/>
      <c r="R103" s="889"/>
      <c r="S103" s="891"/>
      <c r="T103" s="889"/>
      <c r="U103" s="889"/>
      <c r="V103" s="889"/>
      <c r="W103" s="889"/>
      <c r="X103" s="880"/>
      <c r="Y103" s="867"/>
      <c r="Z103" s="880"/>
      <c r="AA103" s="880"/>
      <c r="AB103" s="880"/>
      <c r="AC103" s="880"/>
      <c r="AD103" s="880"/>
      <c r="AE103" s="880"/>
      <c r="AF103" s="880"/>
      <c r="AG103" s="880"/>
      <c r="AH103" s="880"/>
      <c r="AI103" s="880"/>
      <c r="AJ103" s="880"/>
      <c r="AK103" s="880"/>
      <c r="AL103" s="880"/>
      <c r="AM103" s="880"/>
      <c r="AN103" s="880"/>
      <c r="AO103" s="880"/>
      <c r="AP103" s="880"/>
      <c r="AQ103" s="880"/>
      <c r="AR103" s="880"/>
      <c r="AS103" s="880"/>
      <c r="AT103" s="880"/>
    </row>
    <row r="104" spans="2:46" ht="11.25" customHeight="1">
      <c r="B104" s="771"/>
      <c r="C104" s="769"/>
      <c r="D104" s="769"/>
      <c r="E104" s="769"/>
      <c r="F104" s="812"/>
      <c r="G104" s="812"/>
      <c r="H104" s="812"/>
      <c r="I104" s="812"/>
      <c r="J104" s="812"/>
      <c r="K104" s="812"/>
      <c r="L104" s="812"/>
      <c r="M104" s="812"/>
      <c r="Q104" s="812"/>
      <c r="R104" s="812"/>
      <c r="T104" s="812"/>
      <c r="U104" s="812"/>
      <c r="V104" s="812"/>
      <c r="W104" s="812"/>
    </row>
    <row r="105" spans="2:46" ht="11.25" customHeight="1">
      <c r="B105" s="771"/>
      <c r="C105" s="769"/>
      <c r="D105" s="769"/>
      <c r="E105" s="769"/>
      <c r="F105" s="812"/>
      <c r="G105" s="812"/>
      <c r="H105" s="812"/>
      <c r="I105" s="812"/>
      <c r="J105" s="812"/>
      <c r="K105" s="812"/>
      <c r="L105" s="812"/>
      <c r="M105" s="812"/>
      <c r="Q105" s="812"/>
      <c r="R105" s="812"/>
      <c r="T105" s="812"/>
      <c r="U105" s="812"/>
      <c r="V105" s="812"/>
      <c r="W105" s="812"/>
    </row>
    <row r="106" spans="2:46" ht="11.25" customHeight="1">
      <c r="B106" s="771"/>
      <c r="C106" s="769"/>
      <c r="D106" s="769"/>
      <c r="E106" s="769"/>
      <c r="F106" s="812"/>
      <c r="G106" s="812"/>
      <c r="H106" s="812"/>
      <c r="I106" s="812"/>
      <c r="J106" s="812"/>
      <c r="K106" s="812"/>
      <c r="L106" s="812"/>
      <c r="M106" s="812"/>
      <c r="Q106" s="812"/>
      <c r="R106" s="812"/>
      <c r="T106" s="812"/>
      <c r="U106" s="812"/>
      <c r="V106" s="812"/>
      <c r="W106" s="812"/>
    </row>
    <row r="107" spans="2:46" ht="11.25" customHeight="1">
      <c r="B107" s="771"/>
      <c r="C107" s="769"/>
      <c r="D107" s="769"/>
      <c r="E107" s="769"/>
      <c r="F107" s="812"/>
      <c r="G107" s="812"/>
      <c r="H107" s="812"/>
      <c r="I107" s="812"/>
      <c r="J107" s="812"/>
      <c r="K107" s="812"/>
      <c r="L107" s="812"/>
      <c r="M107" s="812"/>
      <c r="Q107" s="812"/>
      <c r="R107" s="812"/>
      <c r="T107" s="812"/>
      <c r="U107" s="812"/>
      <c r="V107" s="812"/>
      <c r="W107" s="812"/>
    </row>
    <row r="108" spans="2:46" ht="11.25" customHeight="1">
      <c r="B108" s="771"/>
      <c r="C108" s="769"/>
      <c r="D108" s="769"/>
      <c r="E108" s="769"/>
      <c r="F108" s="812"/>
      <c r="G108" s="812"/>
      <c r="H108" s="812"/>
      <c r="I108" s="812"/>
      <c r="J108" s="812"/>
      <c r="K108" s="812"/>
      <c r="L108" s="812"/>
      <c r="M108" s="812"/>
      <c r="Q108" s="812"/>
      <c r="R108" s="812"/>
      <c r="T108" s="812"/>
      <c r="U108" s="812"/>
      <c r="V108" s="812"/>
      <c r="W108" s="812"/>
    </row>
    <row r="109" spans="2:46" ht="11.25" customHeight="1">
      <c r="B109" s="771"/>
      <c r="C109" s="769"/>
      <c r="D109" s="769"/>
      <c r="E109" s="769"/>
      <c r="F109" s="812"/>
      <c r="G109" s="812"/>
      <c r="H109" s="812"/>
      <c r="I109" s="812"/>
      <c r="J109" s="812"/>
      <c r="K109" s="812"/>
      <c r="L109" s="812"/>
      <c r="M109" s="812"/>
      <c r="Q109" s="812"/>
      <c r="R109" s="812"/>
      <c r="T109" s="812"/>
      <c r="U109" s="812"/>
      <c r="V109" s="812"/>
      <c r="W109" s="812"/>
    </row>
    <row r="110" spans="2:46" ht="11.25" customHeight="1">
      <c r="B110" s="771"/>
      <c r="C110" s="769"/>
      <c r="D110" s="769"/>
      <c r="E110" s="769"/>
      <c r="F110" s="812"/>
      <c r="G110" s="812"/>
      <c r="H110" s="812"/>
      <c r="I110" s="812"/>
      <c r="J110" s="812"/>
      <c r="K110" s="812"/>
      <c r="L110" s="812"/>
      <c r="M110" s="812"/>
      <c r="Q110" s="812"/>
      <c r="R110" s="812"/>
      <c r="T110" s="812"/>
      <c r="U110" s="812"/>
      <c r="V110" s="812"/>
      <c r="W110" s="812"/>
    </row>
    <row r="111" spans="2:46" ht="11.25" customHeight="1">
      <c r="B111" s="771"/>
      <c r="C111" s="812"/>
      <c r="D111" s="769"/>
      <c r="E111" s="769"/>
      <c r="F111" s="812"/>
      <c r="G111" s="812"/>
      <c r="H111" s="812"/>
      <c r="I111" s="812"/>
      <c r="J111" s="812"/>
      <c r="K111" s="812"/>
      <c r="L111" s="812"/>
      <c r="M111" s="812"/>
      <c r="Q111" s="812"/>
      <c r="R111" s="812"/>
      <c r="T111" s="812"/>
      <c r="U111" s="812"/>
      <c r="V111" s="812"/>
      <c r="W111" s="812"/>
    </row>
    <row r="112" spans="2:46" ht="11.25" customHeight="1">
      <c r="B112" s="771"/>
      <c r="C112" s="812"/>
      <c r="D112" s="769"/>
      <c r="E112" s="769"/>
      <c r="F112" s="812"/>
      <c r="G112" s="812"/>
      <c r="H112" s="812"/>
      <c r="I112" s="812"/>
      <c r="J112" s="812"/>
      <c r="K112" s="812"/>
      <c r="L112" s="812"/>
      <c r="M112" s="812"/>
      <c r="Q112" s="812"/>
      <c r="R112" s="812"/>
      <c r="T112" s="812"/>
      <c r="U112" s="812"/>
      <c r="V112" s="812"/>
      <c r="W112" s="812"/>
    </row>
    <row r="113" spans="2:23" ht="11.25" customHeight="1">
      <c r="B113" s="771"/>
      <c r="C113" s="812"/>
      <c r="D113" s="769"/>
      <c r="E113" s="769"/>
      <c r="F113" s="812"/>
      <c r="G113" s="812"/>
      <c r="H113" s="812"/>
      <c r="I113" s="812"/>
      <c r="J113" s="812"/>
      <c r="K113" s="812"/>
      <c r="L113" s="812"/>
      <c r="M113" s="812"/>
      <c r="Q113" s="812"/>
      <c r="R113" s="812"/>
      <c r="T113" s="812"/>
      <c r="U113" s="812"/>
      <c r="V113" s="812"/>
      <c r="W113" s="812"/>
    </row>
    <row r="114" spans="2:23" ht="11.25" customHeight="1">
      <c r="B114" s="771"/>
      <c r="C114" s="812"/>
      <c r="D114" s="769"/>
      <c r="E114" s="769"/>
      <c r="F114" s="812"/>
      <c r="G114" s="812"/>
      <c r="H114" s="812"/>
      <c r="I114" s="812"/>
      <c r="J114" s="812"/>
      <c r="K114" s="812"/>
      <c r="L114" s="812"/>
      <c r="M114" s="812"/>
      <c r="Q114" s="812"/>
      <c r="R114" s="812"/>
      <c r="T114" s="812"/>
      <c r="U114" s="812"/>
      <c r="V114" s="812"/>
      <c r="W114" s="812"/>
    </row>
    <row r="115" spans="2:23" ht="11.25" customHeight="1">
      <c r="B115" s="771"/>
      <c r="C115" s="812"/>
      <c r="D115" s="769"/>
      <c r="E115" s="769"/>
      <c r="F115" s="812"/>
      <c r="G115" s="812"/>
      <c r="H115" s="812"/>
      <c r="I115" s="812"/>
      <c r="J115" s="812"/>
      <c r="K115" s="812"/>
      <c r="L115" s="812"/>
      <c r="M115" s="812"/>
      <c r="Q115" s="812"/>
      <c r="R115" s="812"/>
      <c r="T115" s="812"/>
      <c r="U115" s="812"/>
      <c r="V115" s="812"/>
      <c r="W115" s="812"/>
    </row>
    <row r="116" spans="2:23" ht="11.25" customHeight="1">
      <c r="B116" s="771"/>
      <c r="C116" s="812"/>
      <c r="D116" s="769"/>
      <c r="E116" s="769"/>
      <c r="F116" s="812"/>
      <c r="G116" s="812"/>
      <c r="H116" s="812"/>
      <c r="I116" s="812"/>
      <c r="J116" s="812"/>
      <c r="K116" s="812"/>
      <c r="L116" s="812"/>
      <c r="M116" s="812"/>
      <c r="Q116" s="812"/>
      <c r="R116" s="812"/>
      <c r="T116" s="812"/>
      <c r="U116" s="812"/>
      <c r="V116" s="812"/>
      <c r="W116" s="812"/>
    </row>
    <row r="117" spans="2:23" ht="11.25" customHeight="1">
      <c r="B117" s="771"/>
      <c r="C117" s="812"/>
      <c r="D117" s="769"/>
      <c r="E117" s="769"/>
      <c r="F117" s="812"/>
      <c r="G117" s="812"/>
      <c r="H117" s="812"/>
      <c r="I117" s="812"/>
      <c r="J117" s="812"/>
      <c r="K117" s="812"/>
      <c r="L117" s="812"/>
      <c r="M117" s="812"/>
      <c r="Q117" s="812"/>
      <c r="R117" s="812"/>
      <c r="T117" s="812"/>
      <c r="U117" s="812"/>
      <c r="V117" s="812"/>
      <c r="W117" s="812"/>
    </row>
    <row r="118" spans="2:23" ht="11.25" customHeight="1">
      <c r="B118" s="771"/>
      <c r="C118" s="812"/>
      <c r="D118" s="769"/>
      <c r="E118" s="769"/>
      <c r="F118" s="812"/>
      <c r="G118" s="812"/>
      <c r="H118" s="812"/>
      <c r="I118" s="812"/>
      <c r="J118" s="812"/>
      <c r="K118" s="812"/>
      <c r="L118" s="812"/>
      <c r="M118" s="812"/>
      <c r="Q118" s="812"/>
      <c r="R118" s="812"/>
      <c r="T118" s="812"/>
      <c r="U118" s="812"/>
      <c r="V118" s="812"/>
      <c r="W118" s="812"/>
    </row>
    <row r="119" spans="2:23" ht="11.25" customHeight="1">
      <c r="B119" s="771"/>
      <c r="C119" s="812"/>
      <c r="D119" s="769"/>
      <c r="E119" s="769"/>
      <c r="F119" s="812"/>
      <c r="G119" s="812"/>
      <c r="H119" s="812"/>
      <c r="I119" s="812"/>
      <c r="J119" s="812"/>
      <c r="K119" s="812"/>
      <c r="L119" s="812"/>
      <c r="M119" s="812"/>
      <c r="Q119" s="812"/>
      <c r="R119" s="812"/>
      <c r="T119" s="812"/>
      <c r="U119" s="812"/>
      <c r="V119" s="812"/>
      <c r="W119" s="812"/>
    </row>
    <row r="120" spans="2:23" ht="11.25" customHeight="1">
      <c r="B120" s="771"/>
      <c r="C120" s="892"/>
      <c r="D120" s="769"/>
      <c r="E120" s="769"/>
      <c r="F120" s="812"/>
      <c r="G120" s="812"/>
      <c r="H120" s="812"/>
      <c r="I120" s="812"/>
      <c r="J120" s="812"/>
      <c r="K120" s="812"/>
      <c r="L120" s="812"/>
      <c r="M120" s="812"/>
      <c r="Q120" s="812"/>
      <c r="R120" s="812"/>
      <c r="T120" s="812"/>
      <c r="U120" s="812"/>
      <c r="V120" s="812"/>
      <c r="W120" s="812"/>
    </row>
    <row r="121" spans="2:23" ht="11.25" customHeight="1">
      <c r="B121" s="771"/>
      <c r="C121" s="892"/>
      <c r="D121" s="769"/>
      <c r="E121" s="769"/>
      <c r="F121" s="812"/>
      <c r="G121" s="812"/>
      <c r="H121" s="812"/>
      <c r="I121" s="812"/>
      <c r="J121" s="812"/>
      <c r="K121" s="812"/>
      <c r="L121" s="812"/>
      <c r="M121" s="812"/>
      <c r="Q121" s="812"/>
      <c r="R121" s="812"/>
      <c r="T121" s="812"/>
      <c r="U121" s="812"/>
      <c r="V121" s="812"/>
      <c r="W121" s="812"/>
    </row>
    <row r="122" spans="2:23" ht="11.25" customHeight="1">
      <c r="B122" s="771"/>
      <c r="C122" s="892"/>
      <c r="D122" s="769"/>
      <c r="E122" s="769"/>
      <c r="F122" s="812"/>
      <c r="G122" s="812"/>
      <c r="H122" s="812"/>
      <c r="I122" s="812"/>
      <c r="J122" s="812"/>
      <c r="K122" s="812"/>
      <c r="L122" s="812"/>
      <c r="M122" s="812"/>
      <c r="Q122" s="812"/>
      <c r="R122" s="812"/>
      <c r="T122" s="812"/>
      <c r="U122" s="812"/>
      <c r="V122" s="812"/>
      <c r="W122" s="812"/>
    </row>
    <row r="123" spans="2:23" ht="11.25" customHeight="1">
      <c r="B123" s="771"/>
      <c r="C123" s="892"/>
      <c r="D123" s="769"/>
      <c r="E123" s="769"/>
      <c r="F123" s="812"/>
      <c r="G123" s="812"/>
      <c r="H123" s="812"/>
      <c r="I123" s="812"/>
      <c r="J123" s="812"/>
      <c r="K123" s="812"/>
      <c r="L123" s="812"/>
      <c r="M123" s="812"/>
      <c r="Q123" s="812"/>
      <c r="R123" s="812"/>
      <c r="T123" s="812"/>
      <c r="U123" s="812"/>
      <c r="V123" s="812"/>
      <c r="W123" s="812"/>
    </row>
    <row r="124" spans="2:23" ht="11.25" customHeight="1">
      <c r="B124" s="771"/>
      <c r="C124" s="883"/>
      <c r="D124" s="769"/>
      <c r="E124" s="769"/>
      <c r="F124" s="812"/>
      <c r="G124" s="812"/>
      <c r="H124" s="812"/>
      <c r="I124" s="812"/>
      <c r="J124" s="812"/>
      <c r="K124" s="812"/>
      <c r="L124" s="812"/>
      <c r="M124" s="812"/>
      <c r="Q124" s="812"/>
      <c r="R124" s="812"/>
      <c r="T124" s="812"/>
      <c r="U124" s="812"/>
      <c r="V124" s="812"/>
      <c r="W124" s="812"/>
    </row>
    <row r="125" spans="2:23" ht="11.25" customHeight="1">
      <c r="B125" s="771"/>
      <c r="C125" s="892"/>
      <c r="D125" s="769"/>
      <c r="E125" s="769"/>
      <c r="F125" s="812"/>
      <c r="G125" s="812"/>
      <c r="H125" s="812"/>
      <c r="I125" s="812"/>
      <c r="J125" s="812"/>
      <c r="K125" s="812"/>
      <c r="L125" s="812"/>
      <c r="M125" s="812"/>
      <c r="Q125" s="812"/>
      <c r="R125" s="812"/>
      <c r="T125" s="812"/>
      <c r="U125" s="812"/>
      <c r="V125" s="812"/>
      <c r="W125" s="812"/>
    </row>
    <row r="126" spans="2:23" ht="11.25" customHeight="1">
      <c r="B126" s="771"/>
      <c r="C126" s="892"/>
      <c r="D126" s="769"/>
      <c r="E126" s="769"/>
      <c r="F126" s="812"/>
      <c r="G126" s="812"/>
      <c r="H126" s="812"/>
      <c r="I126" s="812"/>
      <c r="J126" s="812"/>
      <c r="K126" s="812"/>
      <c r="L126" s="812"/>
      <c r="M126" s="812"/>
      <c r="Q126" s="812"/>
      <c r="R126" s="812"/>
      <c r="T126" s="812"/>
      <c r="U126" s="812"/>
      <c r="V126" s="812"/>
      <c r="W126" s="812"/>
    </row>
    <row r="127" spans="2:23" ht="11.25" customHeight="1">
      <c r="B127" s="771"/>
      <c r="C127" s="892"/>
      <c r="D127" s="769"/>
      <c r="E127" s="769"/>
      <c r="F127" s="812"/>
      <c r="G127" s="812"/>
      <c r="H127" s="812"/>
      <c r="I127" s="812"/>
      <c r="J127" s="812"/>
      <c r="K127" s="812"/>
      <c r="L127" s="812"/>
      <c r="M127" s="812"/>
      <c r="Q127" s="812"/>
      <c r="R127" s="812"/>
      <c r="T127" s="812"/>
      <c r="U127" s="812"/>
      <c r="V127" s="812"/>
      <c r="W127" s="812"/>
    </row>
    <row r="128" spans="2:23" ht="11.25" customHeight="1">
      <c r="B128" s="771"/>
      <c r="C128" s="892"/>
      <c r="D128" s="769"/>
      <c r="E128" s="769"/>
      <c r="F128" s="812"/>
      <c r="G128" s="812"/>
      <c r="H128" s="812"/>
      <c r="I128" s="812"/>
      <c r="J128" s="812"/>
      <c r="K128" s="812"/>
      <c r="L128" s="812"/>
      <c r="M128" s="812"/>
      <c r="Q128" s="812"/>
      <c r="R128" s="812"/>
      <c r="T128" s="812"/>
      <c r="U128" s="812"/>
      <c r="V128" s="812"/>
      <c r="W128" s="812"/>
    </row>
    <row r="129" spans="2:23" ht="11.25" customHeight="1">
      <c r="B129" s="771"/>
      <c r="C129" s="812"/>
      <c r="D129" s="769"/>
      <c r="E129" s="769"/>
      <c r="F129" s="812"/>
      <c r="G129" s="812"/>
      <c r="H129" s="812"/>
      <c r="I129" s="812"/>
      <c r="J129" s="812"/>
      <c r="K129" s="812"/>
      <c r="L129" s="812"/>
      <c r="M129" s="812"/>
      <c r="Q129" s="812"/>
      <c r="R129" s="812"/>
      <c r="T129" s="812"/>
      <c r="U129" s="812"/>
      <c r="V129" s="812"/>
      <c r="W129" s="812"/>
    </row>
    <row r="130" spans="2:23" ht="11.25" customHeight="1">
      <c r="B130" s="771"/>
      <c r="C130" s="892"/>
      <c r="D130" s="769"/>
      <c r="E130" s="769"/>
      <c r="F130" s="812"/>
      <c r="G130" s="812"/>
      <c r="H130" s="812"/>
      <c r="I130" s="812"/>
      <c r="J130" s="812"/>
      <c r="K130" s="812"/>
      <c r="L130" s="812"/>
      <c r="M130" s="812"/>
      <c r="Q130" s="812"/>
      <c r="R130" s="812"/>
      <c r="T130" s="812"/>
      <c r="U130" s="812"/>
      <c r="V130" s="812"/>
      <c r="W130" s="812"/>
    </row>
    <row r="131" spans="2:23" ht="11.25" customHeight="1">
      <c r="B131" s="771"/>
      <c r="C131" s="812"/>
      <c r="D131" s="769"/>
      <c r="E131" s="769"/>
      <c r="F131" s="812"/>
      <c r="G131" s="812"/>
      <c r="H131" s="812"/>
      <c r="I131" s="812"/>
      <c r="J131" s="812"/>
      <c r="K131" s="812"/>
      <c r="L131" s="812"/>
      <c r="M131" s="812"/>
      <c r="Q131" s="812"/>
      <c r="R131" s="812"/>
      <c r="T131" s="812"/>
      <c r="U131" s="812"/>
      <c r="V131" s="812"/>
      <c r="W131" s="812"/>
    </row>
    <row r="132" spans="2:23" ht="11.25" customHeight="1">
      <c r="B132" s="771"/>
      <c r="C132" s="769"/>
      <c r="D132" s="769"/>
      <c r="E132" s="769"/>
      <c r="F132" s="812"/>
      <c r="G132" s="812"/>
      <c r="H132" s="812"/>
      <c r="I132" s="812"/>
      <c r="J132" s="812"/>
      <c r="K132" s="812"/>
      <c r="L132" s="812"/>
      <c r="M132" s="812"/>
      <c r="Q132" s="812"/>
      <c r="R132" s="812"/>
      <c r="T132" s="812"/>
      <c r="U132" s="812"/>
      <c r="V132" s="812"/>
      <c r="W132" s="812"/>
    </row>
    <row r="133" spans="2:23" ht="11.25" customHeight="1">
      <c r="B133" s="768"/>
      <c r="C133" s="769"/>
      <c r="D133" s="769"/>
      <c r="E133" s="769"/>
      <c r="F133" s="812"/>
      <c r="G133" s="812"/>
      <c r="H133" s="812"/>
      <c r="I133" s="812"/>
      <c r="J133" s="812"/>
      <c r="K133" s="812"/>
      <c r="L133" s="812"/>
      <c r="M133" s="812"/>
      <c r="Q133" s="812"/>
      <c r="R133" s="812"/>
      <c r="T133" s="812"/>
      <c r="U133" s="812"/>
      <c r="V133" s="812"/>
      <c r="W133" s="812"/>
    </row>
    <row r="134" spans="2:23" ht="11.25" customHeight="1">
      <c r="B134" s="768"/>
      <c r="C134" s="769"/>
      <c r="D134" s="769"/>
      <c r="E134" s="769"/>
      <c r="F134" s="812"/>
      <c r="G134" s="812"/>
      <c r="H134" s="812"/>
      <c r="I134" s="812"/>
      <c r="J134" s="812"/>
      <c r="K134" s="812"/>
      <c r="L134" s="812"/>
      <c r="M134" s="812"/>
      <c r="Q134" s="812"/>
      <c r="R134" s="812"/>
      <c r="T134" s="812"/>
      <c r="U134" s="812"/>
      <c r="V134" s="812"/>
      <c r="W134" s="812"/>
    </row>
    <row r="135" spans="2:23" ht="11.25" customHeight="1">
      <c r="B135" s="768"/>
      <c r="C135" s="769"/>
      <c r="D135" s="769"/>
      <c r="E135" s="769"/>
      <c r="F135" s="812"/>
      <c r="G135" s="812"/>
      <c r="H135" s="812"/>
      <c r="I135" s="812"/>
      <c r="J135" s="812"/>
      <c r="K135" s="812"/>
      <c r="L135" s="812"/>
      <c r="M135" s="812"/>
      <c r="Q135" s="812"/>
      <c r="R135" s="812"/>
      <c r="T135" s="812"/>
      <c r="U135" s="812"/>
      <c r="V135" s="812"/>
      <c r="W135" s="812"/>
    </row>
    <row r="136" spans="2:23" ht="11.25" customHeight="1">
      <c r="B136" s="768"/>
      <c r="C136" s="769"/>
      <c r="D136" s="769"/>
      <c r="E136" s="769"/>
      <c r="F136" s="812"/>
      <c r="G136" s="812"/>
      <c r="H136" s="812"/>
      <c r="I136" s="812"/>
      <c r="J136" s="812"/>
      <c r="K136" s="812"/>
      <c r="L136" s="812"/>
      <c r="M136" s="812"/>
      <c r="Q136" s="812"/>
      <c r="R136" s="812"/>
      <c r="U136" s="812"/>
      <c r="V136" s="812"/>
      <c r="W136" s="812"/>
    </row>
    <row r="137" spans="2:23" ht="11.25" customHeight="1">
      <c r="B137" s="768"/>
      <c r="C137" s="769"/>
      <c r="D137" s="769"/>
      <c r="E137" s="769"/>
      <c r="F137" s="812"/>
      <c r="G137" s="812"/>
      <c r="H137" s="812"/>
      <c r="I137" s="812"/>
      <c r="J137" s="812"/>
      <c r="K137" s="812"/>
      <c r="L137" s="812"/>
      <c r="M137" s="812"/>
      <c r="Q137" s="812"/>
      <c r="R137" s="812"/>
      <c r="U137" s="812"/>
      <c r="V137" s="812"/>
      <c r="W137" s="812"/>
    </row>
    <row r="138" spans="2:23" ht="11.25" customHeight="1">
      <c r="B138" s="768"/>
      <c r="C138" s="812"/>
      <c r="D138" s="769"/>
      <c r="E138" s="769"/>
      <c r="F138" s="812"/>
      <c r="G138" s="812"/>
      <c r="H138" s="812"/>
      <c r="I138" s="812"/>
      <c r="J138" s="812"/>
      <c r="K138" s="812"/>
      <c r="L138" s="812"/>
      <c r="M138" s="812"/>
      <c r="Q138" s="812"/>
      <c r="R138" s="812"/>
      <c r="U138" s="812"/>
      <c r="V138" s="812"/>
      <c r="W138" s="812"/>
    </row>
    <row r="139" spans="2:23" ht="11.25" customHeight="1">
      <c r="B139" s="768"/>
      <c r="C139" s="812"/>
      <c r="D139" s="769"/>
      <c r="E139" s="769"/>
      <c r="F139" s="812"/>
      <c r="G139" s="812"/>
      <c r="H139" s="812"/>
      <c r="I139" s="812"/>
      <c r="J139" s="812"/>
      <c r="K139" s="812"/>
      <c r="L139" s="812"/>
      <c r="M139" s="812"/>
      <c r="Q139" s="812"/>
      <c r="R139" s="812"/>
      <c r="U139" s="812"/>
      <c r="V139" s="812"/>
      <c r="W139" s="812"/>
    </row>
    <row r="140" spans="2:23" ht="11.25" customHeight="1">
      <c r="B140" s="768"/>
      <c r="C140" s="769"/>
      <c r="D140" s="769"/>
      <c r="E140" s="769"/>
      <c r="F140" s="769"/>
      <c r="G140" s="769"/>
      <c r="H140" s="769"/>
      <c r="I140" s="769"/>
      <c r="J140" s="769"/>
      <c r="K140" s="769"/>
      <c r="L140" s="769"/>
      <c r="M140" s="769"/>
    </row>
    <row r="141" spans="2:23" ht="11.25" customHeight="1">
      <c r="B141" s="768"/>
      <c r="C141" s="769"/>
      <c r="D141" s="769"/>
      <c r="E141" s="769"/>
      <c r="F141" s="769"/>
      <c r="G141" s="769"/>
      <c r="H141" s="769"/>
      <c r="I141" s="769"/>
      <c r="J141" s="769"/>
      <c r="K141" s="769"/>
      <c r="L141" s="769"/>
      <c r="M141" s="769"/>
    </row>
    <row r="142" spans="2:23" ht="11.25" customHeight="1">
      <c r="B142" s="768"/>
      <c r="C142" s="769"/>
      <c r="D142" s="769"/>
      <c r="E142" s="769"/>
      <c r="F142" s="769"/>
      <c r="G142" s="769"/>
      <c r="H142" s="769"/>
      <c r="I142" s="769"/>
      <c r="J142" s="769"/>
      <c r="K142" s="769"/>
      <c r="L142" s="769"/>
      <c r="M142" s="769"/>
    </row>
    <row r="143" spans="2:23" ht="11.25" customHeight="1">
      <c r="B143" s="768"/>
      <c r="C143" s="771"/>
      <c r="D143" s="769"/>
      <c r="E143" s="769"/>
      <c r="F143" s="769"/>
      <c r="G143" s="769"/>
      <c r="H143" s="769"/>
      <c r="I143" s="769"/>
      <c r="J143" s="769"/>
      <c r="K143" s="769"/>
      <c r="L143" s="769"/>
      <c r="M143" s="769"/>
    </row>
    <row r="144" spans="2:23" ht="11.25" customHeight="1">
      <c r="B144" s="768"/>
      <c r="C144" s="769"/>
      <c r="D144" s="769"/>
      <c r="E144" s="769"/>
      <c r="F144" s="769"/>
      <c r="G144" s="769"/>
      <c r="H144" s="769"/>
      <c r="I144" s="769"/>
      <c r="J144" s="769"/>
      <c r="K144" s="769"/>
      <c r="L144" s="769"/>
      <c r="M144" s="769"/>
    </row>
    <row r="145" spans="2:24" ht="11.25" customHeight="1">
      <c r="B145" s="771"/>
      <c r="C145" s="769"/>
      <c r="D145" s="769"/>
      <c r="E145" s="769"/>
      <c r="F145" s="769"/>
      <c r="G145" s="769"/>
      <c r="H145" s="769"/>
      <c r="I145" s="769"/>
      <c r="J145" s="769"/>
      <c r="K145" s="769"/>
      <c r="L145" s="769"/>
      <c r="M145" s="771"/>
      <c r="X145" s="768"/>
    </row>
    <row r="146" spans="2:24" ht="11.25" customHeight="1">
      <c r="B146" s="771"/>
      <c r="C146" s="769"/>
      <c r="D146" s="769"/>
      <c r="E146" s="769"/>
      <c r="F146" s="769"/>
      <c r="G146" s="769"/>
      <c r="H146" s="769"/>
      <c r="I146" s="769"/>
      <c r="J146" s="769"/>
      <c r="K146" s="769"/>
      <c r="L146" s="769"/>
      <c r="M146" s="771"/>
    </row>
    <row r="147" spans="2:24" ht="11.25" customHeight="1">
      <c r="B147" s="771"/>
      <c r="C147" s="769"/>
      <c r="D147" s="769"/>
      <c r="E147" s="769"/>
      <c r="F147" s="769"/>
      <c r="G147" s="769"/>
      <c r="H147" s="769"/>
      <c r="I147" s="769"/>
      <c r="J147" s="769"/>
      <c r="K147" s="769"/>
      <c r="L147" s="769"/>
      <c r="M147" s="771"/>
    </row>
    <row r="148" spans="2:24" ht="11.25" customHeight="1">
      <c r="B148" s="771"/>
      <c r="C148" s="769"/>
      <c r="D148" s="769"/>
      <c r="E148" s="769"/>
      <c r="F148" s="769"/>
      <c r="G148" s="769"/>
      <c r="H148" s="769"/>
      <c r="I148" s="769"/>
      <c r="J148" s="769"/>
      <c r="K148" s="769"/>
      <c r="L148" s="769"/>
      <c r="M148" s="771"/>
    </row>
    <row r="149" spans="2:24" ht="11.25" customHeight="1">
      <c r="B149" s="771"/>
      <c r="C149" s="769"/>
      <c r="D149" s="769"/>
      <c r="E149" s="769"/>
      <c r="F149" s="769"/>
      <c r="G149" s="769"/>
      <c r="H149" s="769"/>
      <c r="I149" s="769"/>
      <c r="J149" s="769"/>
      <c r="K149" s="769"/>
      <c r="L149" s="769"/>
      <c r="M149" s="771"/>
    </row>
    <row r="150" spans="2:24" ht="11.25" customHeight="1">
      <c r="B150" s="768"/>
      <c r="C150" s="769"/>
      <c r="D150" s="769"/>
      <c r="E150" s="769"/>
      <c r="F150" s="769"/>
      <c r="G150" s="769"/>
      <c r="H150" s="769"/>
      <c r="I150" s="769"/>
      <c r="J150" s="769"/>
      <c r="K150" s="769"/>
      <c r="L150" s="769"/>
      <c r="M150" s="769"/>
    </row>
    <row r="151" spans="2:24" ht="11.25" customHeight="1">
      <c r="B151" s="768"/>
      <c r="C151" s="769"/>
      <c r="D151" s="769"/>
      <c r="E151" s="769"/>
      <c r="F151" s="769"/>
      <c r="G151" s="769"/>
      <c r="H151" s="769"/>
      <c r="I151" s="769"/>
      <c r="J151" s="769"/>
      <c r="K151" s="769"/>
      <c r="L151" s="769"/>
      <c r="M151" s="769"/>
    </row>
    <row r="152" spans="2:24" ht="11.25" customHeight="1">
      <c r="B152" s="768"/>
    </row>
    <row r="153" spans="2:24" ht="11.25" customHeight="1">
      <c r="B153" s="768"/>
    </row>
  </sheetData>
  <mergeCells count="2">
    <mergeCell ref="C56:M56"/>
    <mergeCell ref="C57:M57"/>
  </mergeCells>
  <pageMargins left="0.2" right="0.2" top="0.75" bottom="0.75" header="0.3" footer="0.3"/>
  <pageSetup scale="41"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453F8-F394-4711-87ED-4215947B832D}">
  <sheetPr>
    <pageSetUpPr fitToPage="1"/>
  </sheetPr>
  <dimension ref="A2:AT256"/>
  <sheetViews>
    <sheetView showGridLines="0" defaultGridColor="0" colorId="22" zoomScale="120" zoomScaleNormal="120" workbookViewId="0">
      <pane ySplit="3" topLeftCell="A4" activePane="bottomLeft" state="frozen"/>
      <selection activeCell="B1" sqref="B1"/>
      <selection pane="bottomLeft" activeCell="A128" sqref="A128:XFD128"/>
    </sheetView>
  </sheetViews>
  <sheetFormatPr defaultColWidth="9.1796875" defaultRowHeight="11.25" customHeight="1"/>
  <cols>
    <col min="1" max="1" width="4.1796875" style="932" customWidth="1"/>
    <col min="2" max="2" width="9.1796875" style="932" customWidth="1"/>
    <col min="3" max="3" width="1.54296875" style="932" customWidth="1"/>
    <col min="4" max="4" width="33.1796875" style="932" customWidth="1"/>
    <col min="5" max="5" width="6.81640625" style="932" customWidth="1"/>
    <col min="6" max="6" width="5" style="932" bestFit="1" customWidth="1"/>
    <col min="7" max="8" width="9.1796875" style="932"/>
    <col min="9" max="9" width="13.54296875" style="932" customWidth="1"/>
    <col min="10" max="11" width="9.81640625" style="932" customWidth="1"/>
    <col min="12" max="12" width="12.1796875" style="932" customWidth="1"/>
    <col min="13" max="13" width="10" style="932" customWidth="1"/>
    <col min="14" max="15" width="10" style="898" customWidth="1"/>
    <col min="16" max="16" width="10" style="899" customWidth="1"/>
    <col min="17" max="17" width="10" style="893" customWidth="1"/>
    <col min="18" max="18" width="4" style="893" customWidth="1"/>
    <col min="19" max="19" width="7.81640625" style="940" customWidth="1"/>
    <col min="20" max="22" width="10" style="893" customWidth="1"/>
    <col min="23" max="23" width="3.453125" style="893" customWidth="1"/>
    <col min="24" max="24" width="9.1796875" style="893"/>
    <col min="25" max="25" width="9.81640625" style="897" customWidth="1"/>
    <col min="26" max="46" width="9.1796875" style="893"/>
    <col min="47" max="16384" width="9.1796875" style="932"/>
  </cols>
  <sheetData>
    <row r="2" spans="1:27" s="893" customFormat="1" ht="35.15" customHeight="1">
      <c r="B2" s="894"/>
      <c r="C2" s="895"/>
      <c r="D2" s="896"/>
      <c r="E2" s="896"/>
      <c r="F2" s="897"/>
      <c r="G2" s="897"/>
      <c r="I2" s="897"/>
      <c r="J2" s="897"/>
      <c r="K2" s="897"/>
      <c r="L2" s="897"/>
      <c r="M2" s="897"/>
      <c r="N2" s="898"/>
      <c r="O2" s="898"/>
      <c r="P2" s="899"/>
      <c r="Q2" s="897"/>
      <c r="R2" s="897"/>
      <c r="S2" s="899"/>
      <c r="U2" s="897"/>
      <c r="V2" s="897"/>
      <c r="Y2" s="897"/>
    </row>
    <row r="3" spans="1:27" s="893" customFormat="1" ht="42.75" customHeight="1">
      <c r="B3" s="900" t="s">
        <v>1610</v>
      </c>
      <c r="C3" s="901"/>
      <c r="D3" s="901"/>
      <c r="E3" s="901"/>
      <c r="F3" s="901"/>
      <c r="G3" s="901"/>
      <c r="H3" s="901"/>
      <c r="I3" s="897"/>
      <c r="J3" s="897"/>
      <c r="K3" s="897"/>
      <c r="L3" s="897"/>
      <c r="M3" s="897"/>
      <c r="N3" s="898"/>
      <c r="O3" s="898"/>
      <c r="P3" s="899"/>
      <c r="Q3" s="897"/>
      <c r="R3" s="897"/>
      <c r="S3" s="899"/>
      <c r="U3" s="897"/>
      <c r="V3" s="897"/>
      <c r="Y3" s="897"/>
    </row>
    <row r="4" spans="1:27" s="902" customFormat="1" ht="13">
      <c r="B4" s="903" t="s">
        <v>1611</v>
      </c>
      <c r="C4" s="904"/>
      <c r="D4" s="905"/>
      <c r="E4" s="906"/>
      <c r="F4" s="907"/>
      <c r="G4" s="908"/>
      <c r="H4" s="908"/>
      <c r="I4" s="909"/>
      <c r="J4" s="910"/>
      <c r="K4" s="911"/>
      <c r="L4" s="912"/>
      <c r="M4" s="913"/>
      <c r="N4" s="914"/>
      <c r="O4" s="914"/>
      <c r="P4" s="915"/>
      <c r="Q4" s="916"/>
      <c r="R4" s="916"/>
      <c r="S4" s="917"/>
      <c r="T4" s="916"/>
      <c r="U4" s="916"/>
      <c r="V4" s="916"/>
      <c r="W4" s="918"/>
      <c r="X4" s="918"/>
      <c r="Y4" s="918"/>
      <c r="Z4" s="918"/>
    </row>
    <row r="5" spans="1:27" s="919" customFormat="1" ht="31.5">
      <c r="B5" s="920" t="s">
        <v>514</v>
      </c>
      <c r="C5" s="921"/>
      <c r="D5" s="922" t="s">
        <v>78</v>
      </c>
      <c r="E5" s="922" t="s">
        <v>526</v>
      </c>
      <c r="F5" s="922" t="s">
        <v>141</v>
      </c>
      <c r="G5" s="923" t="s">
        <v>1612</v>
      </c>
      <c r="H5" s="923" t="s">
        <v>1613</v>
      </c>
      <c r="I5" s="924" t="s">
        <v>1683</v>
      </c>
      <c r="J5" s="924" t="s">
        <v>1615</v>
      </c>
      <c r="K5" s="925" t="s">
        <v>1616</v>
      </c>
      <c r="L5" s="925" t="s">
        <v>1617</v>
      </c>
      <c r="M5" s="926" t="s">
        <v>1618</v>
      </c>
      <c r="N5" s="927"/>
      <c r="O5" s="927"/>
      <c r="P5" s="928"/>
      <c r="Q5" s="929"/>
      <c r="R5" s="929"/>
      <c r="S5" s="930"/>
      <c r="T5" s="929"/>
      <c r="U5" s="929"/>
      <c r="V5" s="929"/>
      <c r="W5" s="931"/>
      <c r="X5" s="931"/>
      <c r="Y5" s="931"/>
      <c r="Z5" s="931"/>
    </row>
    <row r="6" spans="1:27" ht="11.25" customHeight="1">
      <c r="B6" s="933">
        <v>45294</v>
      </c>
      <c r="C6" s="934"/>
      <c r="D6" s="932" t="s">
        <v>1684</v>
      </c>
      <c r="E6" s="932" t="s">
        <v>1685</v>
      </c>
      <c r="F6" s="932" t="s">
        <v>235</v>
      </c>
      <c r="G6" s="935">
        <v>6.47</v>
      </c>
      <c r="H6" s="936">
        <v>9.26</v>
      </c>
      <c r="I6" s="936">
        <v>49.61</v>
      </c>
      <c r="J6" s="937">
        <v>45657</v>
      </c>
      <c r="K6" s="935" t="s">
        <v>47</v>
      </c>
      <c r="L6" s="938">
        <v>15.3</v>
      </c>
      <c r="M6" s="938" t="s">
        <v>1518</v>
      </c>
      <c r="O6" s="935"/>
      <c r="P6" s="936"/>
      <c r="Q6" s="936"/>
      <c r="R6" s="937"/>
      <c r="S6" s="935"/>
      <c r="T6" s="938"/>
      <c r="U6" s="899"/>
      <c r="V6" s="939"/>
      <c r="W6" s="939"/>
      <c r="X6" s="940"/>
      <c r="Y6" s="899"/>
      <c r="Z6" s="941"/>
      <c r="AA6" s="942"/>
    </row>
    <row r="7" spans="1:27" s="893" customFormat="1" ht="11.25" customHeight="1">
      <c r="A7" s="932"/>
      <c r="B7" s="933">
        <v>45300</v>
      </c>
      <c r="C7" s="934"/>
      <c r="D7" s="932" t="s">
        <v>1686</v>
      </c>
      <c r="E7" s="932" t="s">
        <v>1272</v>
      </c>
      <c r="F7" s="932" t="s">
        <v>237</v>
      </c>
      <c r="G7" s="935">
        <v>6.81</v>
      </c>
      <c r="H7" s="936" t="s">
        <v>1621</v>
      </c>
      <c r="I7" s="936" t="s">
        <v>1621</v>
      </c>
      <c r="J7" s="937">
        <v>44926</v>
      </c>
      <c r="K7" s="935" t="s">
        <v>47</v>
      </c>
      <c r="L7" s="942">
        <v>21.520114000000003</v>
      </c>
      <c r="M7" s="938" t="s">
        <v>1290</v>
      </c>
      <c r="N7" s="898"/>
      <c r="O7" s="935"/>
      <c r="P7" s="936"/>
      <c r="Q7" s="936"/>
      <c r="R7" s="937"/>
      <c r="S7" s="935"/>
      <c r="T7" s="942"/>
      <c r="U7" s="899"/>
      <c r="V7" s="939"/>
      <c r="W7" s="939"/>
      <c r="X7" s="940"/>
      <c r="Y7" s="899"/>
      <c r="Z7" s="941"/>
      <c r="AA7" s="942"/>
    </row>
    <row r="8" spans="1:27" s="893" customFormat="1" ht="11.25" customHeight="1">
      <c r="A8" s="932"/>
      <c r="B8" s="933">
        <v>45310</v>
      </c>
      <c r="C8" s="934"/>
      <c r="D8" s="932" t="s">
        <v>158</v>
      </c>
      <c r="E8" s="932" t="s">
        <v>551</v>
      </c>
      <c r="F8" s="932" t="s">
        <v>159</v>
      </c>
      <c r="G8" s="935" t="s">
        <v>1621</v>
      </c>
      <c r="H8" s="936">
        <v>9.75</v>
      </c>
      <c r="I8" s="941">
        <v>41.25</v>
      </c>
      <c r="J8" s="937">
        <v>45016</v>
      </c>
      <c r="K8" s="935" t="s">
        <v>1621</v>
      </c>
      <c r="L8" s="938">
        <v>60.031999999999996</v>
      </c>
      <c r="M8" s="938" t="s">
        <v>1290</v>
      </c>
      <c r="N8" s="898"/>
      <c r="O8" s="935"/>
      <c r="P8" s="936"/>
      <c r="Q8" s="941"/>
      <c r="R8" s="937"/>
      <c r="S8" s="935"/>
      <c r="T8" s="938"/>
      <c r="U8" s="899"/>
      <c r="V8" s="939"/>
      <c r="W8" s="939"/>
      <c r="X8" s="940"/>
      <c r="Y8" s="899"/>
      <c r="Z8" s="941"/>
      <c r="AA8" s="942"/>
    </row>
    <row r="9" spans="1:27" s="893" customFormat="1" ht="11.25" customHeight="1">
      <c r="A9" s="932"/>
      <c r="B9" s="933">
        <v>45321</v>
      </c>
      <c r="C9" s="934"/>
      <c r="D9" s="932" t="s">
        <v>1687</v>
      </c>
      <c r="E9" s="932" t="s">
        <v>1265</v>
      </c>
      <c r="F9" s="932" t="s">
        <v>1401</v>
      </c>
      <c r="G9" s="935">
        <v>7.18</v>
      </c>
      <c r="H9" s="936">
        <v>9.75</v>
      </c>
      <c r="I9" s="936">
        <v>53.72</v>
      </c>
      <c r="J9" s="937">
        <v>44742</v>
      </c>
      <c r="K9" s="935" t="s">
        <v>1620</v>
      </c>
      <c r="L9" s="938">
        <v>9.7636719999999997</v>
      </c>
      <c r="M9" s="938" t="s">
        <v>1518</v>
      </c>
      <c r="N9" s="898"/>
      <c r="O9" s="935"/>
      <c r="P9" s="936"/>
      <c r="Q9" s="936"/>
      <c r="R9" s="937"/>
      <c r="S9" s="935"/>
      <c r="T9" s="938"/>
      <c r="U9" s="899"/>
      <c r="V9" s="939"/>
      <c r="W9" s="939"/>
      <c r="X9" s="940"/>
      <c r="Y9" s="899"/>
      <c r="Z9" s="941"/>
      <c r="AA9" s="942"/>
    </row>
    <row r="10" spans="1:27" s="893" customFormat="1" ht="11.25" customHeight="1">
      <c r="A10" s="932"/>
      <c r="B10" s="933">
        <v>45336</v>
      </c>
      <c r="C10" s="934"/>
      <c r="D10" s="932" t="s">
        <v>1573</v>
      </c>
      <c r="E10" s="932" t="s">
        <v>776</v>
      </c>
      <c r="F10" s="932" t="s">
        <v>176</v>
      </c>
      <c r="G10" s="935">
        <v>7.18</v>
      </c>
      <c r="H10" s="936">
        <v>9.6</v>
      </c>
      <c r="I10" s="936">
        <v>51.9</v>
      </c>
      <c r="J10" s="943">
        <v>45107</v>
      </c>
      <c r="K10" s="935" t="s">
        <v>1620</v>
      </c>
      <c r="L10" s="938">
        <v>85</v>
      </c>
      <c r="M10" s="938" t="s">
        <v>1639</v>
      </c>
      <c r="N10" s="898"/>
      <c r="O10" s="935"/>
      <c r="P10" s="936"/>
      <c r="Q10" s="936"/>
      <c r="R10" s="943"/>
      <c r="S10" s="935"/>
      <c r="T10" s="938"/>
      <c r="U10" s="899"/>
      <c r="V10" s="939"/>
      <c r="W10" s="939"/>
      <c r="X10" s="940"/>
      <c r="Y10" s="899"/>
      <c r="Z10" s="941"/>
      <c r="AA10" s="942"/>
    </row>
    <row r="11" spans="1:27" s="893" customFormat="1" ht="11.25" customHeight="1">
      <c r="A11" s="932"/>
      <c r="B11" s="933">
        <v>45350</v>
      </c>
      <c r="C11" s="934"/>
      <c r="D11" s="932" t="s">
        <v>1619</v>
      </c>
      <c r="E11" s="932" t="s">
        <v>138</v>
      </c>
      <c r="F11" s="932" t="s">
        <v>171</v>
      </c>
      <c r="G11" s="935">
        <v>7.05</v>
      </c>
      <c r="H11" s="936">
        <v>9.6999999999999993</v>
      </c>
      <c r="I11" s="936" t="s">
        <v>1621</v>
      </c>
      <c r="J11" s="937">
        <v>46022</v>
      </c>
      <c r="K11" s="944" t="s">
        <v>47</v>
      </c>
      <c r="L11" s="938">
        <v>0</v>
      </c>
      <c r="M11" s="938" t="s">
        <v>1627</v>
      </c>
      <c r="N11" s="898"/>
      <c r="O11" s="935"/>
      <c r="P11" s="936"/>
      <c r="Q11" s="936"/>
      <c r="R11" s="937"/>
      <c r="S11" s="944"/>
      <c r="T11" s="938"/>
      <c r="U11" s="899"/>
      <c r="V11" s="939"/>
      <c r="W11" s="939"/>
      <c r="X11" s="940"/>
      <c r="Y11" s="899"/>
      <c r="Z11" s="941"/>
      <c r="AA11" s="942"/>
    </row>
    <row r="12" spans="1:27" s="1385" customFormat="1" ht="11.25" customHeight="1">
      <c r="B12" s="1386">
        <v>45352</v>
      </c>
      <c r="C12" s="1387"/>
      <c r="D12" s="1385" t="s">
        <v>175</v>
      </c>
      <c r="E12" s="1385" t="s">
        <v>662</v>
      </c>
      <c r="F12" s="1385" t="s">
        <v>161</v>
      </c>
      <c r="G12" s="1388">
        <v>5.86</v>
      </c>
      <c r="H12" s="1389">
        <v>9.9</v>
      </c>
      <c r="I12" s="1389">
        <v>41.13</v>
      </c>
      <c r="J12" s="1390">
        <v>45716</v>
      </c>
      <c r="K12" s="1388" t="s">
        <v>47</v>
      </c>
      <c r="L12" s="1391">
        <v>92.009</v>
      </c>
      <c r="M12" s="1391" t="s">
        <v>1628</v>
      </c>
      <c r="N12" s="1392"/>
      <c r="O12" s="1388"/>
      <c r="P12" s="1389"/>
      <c r="Q12" s="1389"/>
      <c r="R12" s="1390"/>
      <c r="S12" s="1388"/>
      <c r="T12" s="1391"/>
      <c r="U12" s="1393"/>
      <c r="V12" s="1394"/>
      <c r="X12" s="1395"/>
      <c r="Y12" s="1393"/>
      <c r="Z12" s="1389"/>
      <c r="AA12" s="1391"/>
    </row>
    <row r="13" spans="1:27" s="893" customFormat="1" ht="11.25" customHeight="1">
      <c r="A13" s="932"/>
      <c r="B13" s="933">
        <v>45356</v>
      </c>
      <c r="C13" s="934"/>
      <c r="D13" s="932" t="s">
        <v>1392</v>
      </c>
      <c r="E13" s="932" t="s">
        <v>1039</v>
      </c>
      <c r="F13" s="932" t="s">
        <v>1401</v>
      </c>
      <c r="G13" s="935">
        <v>6.81</v>
      </c>
      <c r="H13" s="936">
        <v>9.5500000000000007</v>
      </c>
      <c r="I13" s="936">
        <v>51.93</v>
      </c>
      <c r="J13" s="937">
        <v>44742</v>
      </c>
      <c r="K13" s="935" t="s">
        <v>1620</v>
      </c>
      <c r="L13" s="938">
        <v>491.678</v>
      </c>
      <c r="M13" s="938"/>
      <c r="N13" s="898"/>
      <c r="O13" s="935"/>
      <c r="P13" s="936"/>
      <c r="Q13" s="936"/>
      <c r="R13" s="937"/>
      <c r="S13" s="935"/>
      <c r="T13" s="938"/>
      <c r="U13" s="899"/>
      <c r="V13" s="945"/>
      <c r="X13" s="940"/>
      <c r="Y13" s="899"/>
      <c r="Z13" s="941"/>
      <c r="AA13" s="942"/>
    </row>
    <row r="14" spans="1:27" s="1385" customFormat="1" ht="11.25" customHeight="1">
      <c r="B14" s="1386">
        <v>45358</v>
      </c>
      <c r="C14" s="1387"/>
      <c r="D14" s="1385" t="s">
        <v>1688</v>
      </c>
      <c r="E14" s="1385" t="s">
        <v>1273</v>
      </c>
      <c r="F14" s="1385" t="s">
        <v>155</v>
      </c>
      <c r="G14" s="1388">
        <v>5.45</v>
      </c>
      <c r="H14" s="1389" t="s">
        <v>1621</v>
      </c>
      <c r="I14" s="1389">
        <v>38.39</v>
      </c>
      <c r="J14" s="1396">
        <v>45016</v>
      </c>
      <c r="K14" s="1388" t="s">
        <v>47</v>
      </c>
      <c r="L14" s="1391">
        <v>3.4691590000000003</v>
      </c>
      <c r="M14" s="1391" t="s">
        <v>1689</v>
      </c>
      <c r="N14" s="1392"/>
      <c r="O14" s="1388"/>
      <c r="P14" s="1389"/>
      <c r="Q14" s="1389"/>
      <c r="R14" s="1396"/>
      <c r="S14" s="1388"/>
      <c r="T14" s="1391"/>
      <c r="U14" s="1393"/>
      <c r="V14" s="1394"/>
      <c r="X14" s="1395"/>
      <c r="Y14" s="1393"/>
      <c r="Z14" s="1389"/>
      <c r="AA14" s="1391"/>
    </row>
    <row r="15" spans="1:27" s="893" customFormat="1" ht="11.25" customHeight="1">
      <c r="A15" s="932"/>
      <c r="B15" s="933">
        <v>45370</v>
      </c>
      <c r="C15" s="934"/>
      <c r="D15" s="932" t="s">
        <v>1629</v>
      </c>
      <c r="E15" s="932" t="s">
        <v>1630</v>
      </c>
      <c r="F15" s="932" t="s">
        <v>1565</v>
      </c>
      <c r="G15" s="935">
        <v>7.29</v>
      </c>
      <c r="H15" s="936" t="s">
        <v>1621</v>
      </c>
      <c r="I15" s="936" t="s">
        <v>1621</v>
      </c>
      <c r="J15" s="943">
        <v>44742</v>
      </c>
      <c r="K15" s="935" t="s">
        <v>1621</v>
      </c>
      <c r="L15" s="938">
        <v>33.799999999999997</v>
      </c>
      <c r="M15" s="938" t="s">
        <v>1627</v>
      </c>
      <c r="N15" s="898"/>
      <c r="O15" s="935"/>
      <c r="P15" s="936"/>
      <c r="Q15" s="936"/>
      <c r="R15" s="943"/>
      <c r="S15" s="935"/>
      <c r="T15" s="938"/>
      <c r="U15" s="899"/>
      <c r="V15" s="945"/>
      <c r="X15" s="940"/>
      <c r="Y15" s="899"/>
      <c r="Z15" s="941"/>
      <c r="AA15" s="942"/>
    </row>
    <row r="16" spans="1:27" s="893" customFormat="1" ht="11.25" customHeight="1">
      <c r="A16" s="932"/>
      <c r="B16" s="933">
        <v>45377</v>
      </c>
      <c r="C16" s="934"/>
      <c r="D16" s="932" t="s">
        <v>1576</v>
      </c>
      <c r="E16" s="932" t="s">
        <v>776</v>
      </c>
      <c r="F16" s="932" t="s">
        <v>173</v>
      </c>
      <c r="G16" s="935" t="s">
        <v>1621</v>
      </c>
      <c r="H16" s="936">
        <v>9.8000000000000007</v>
      </c>
      <c r="I16" s="936" t="s">
        <v>1621</v>
      </c>
      <c r="J16" s="937">
        <v>44926</v>
      </c>
      <c r="K16" s="935" t="s">
        <v>47</v>
      </c>
      <c r="L16" s="938">
        <v>105</v>
      </c>
      <c r="M16" s="938" t="s">
        <v>1290</v>
      </c>
      <c r="N16" s="898"/>
      <c r="O16" s="935"/>
      <c r="P16" s="936"/>
      <c r="Q16" s="936"/>
      <c r="R16" s="937"/>
      <c r="S16" s="935"/>
      <c r="T16" s="938"/>
      <c r="U16" s="899"/>
      <c r="V16" s="945"/>
      <c r="X16" s="940"/>
      <c r="Y16" s="899"/>
      <c r="Z16" s="941"/>
      <c r="AA16" s="942"/>
    </row>
    <row r="17" spans="1:29" s="893" customFormat="1" ht="11.25" customHeight="1">
      <c r="A17" s="946"/>
      <c r="B17" s="947"/>
      <c r="C17" s="948"/>
      <c r="D17" s="949" t="s">
        <v>1650</v>
      </c>
      <c r="E17" s="949"/>
      <c r="F17" s="950"/>
      <c r="G17" s="951">
        <v>6.78</v>
      </c>
      <c r="H17" s="952">
        <v>9.66</v>
      </c>
      <c r="I17" s="952">
        <v>48.25</v>
      </c>
      <c r="J17" s="953"/>
      <c r="K17" s="953"/>
      <c r="L17" s="954">
        <v>1304.9000000000001</v>
      </c>
      <c r="M17" s="955"/>
      <c r="N17" s="898"/>
      <c r="O17" s="898"/>
      <c r="P17" s="899"/>
      <c r="Q17" s="956"/>
      <c r="R17" s="956"/>
      <c r="S17" s="956"/>
      <c r="T17" s="957"/>
      <c r="U17" s="958"/>
      <c r="V17" s="958"/>
      <c r="X17" s="957"/>
      <c r="Y17" s="958"/>
      <c r="Z17" s="959"/>
      <c r="AA17" s="959"/>
      <c r="AC17" s="939"/>
    </row>
    <row r="18" spans="1:29" s="893" customFormat="1" ht="11.25" customHeight="1">
      <c r="A18" s="932"/>
      <c r="B18" s="953"/>
      <c r="C18" s="948"/>
      <c r="D18" s="949" t="s">
        <v>324</v>
      </c>
      <c r="E18" s="949"/>
      <c r="F18" s="950"/>
      <c r="G18" s="960">
        <v>13</v>
      </c>
      <c r="H18" s="961">
        <v>12</v>
      </c>
      <c r="I18" s="961">
        <v>11</v>
      </c>
      <c r="J18" s="952"/>
      <c r="K18" s="962"/>
      <c r="L18" s="961">
        <v>16</v>
      </c>
      <c r="M18" s="955"/>
      <c r="N18" s="898"/>
      <c r="O18" s="941"/>
      <c r="P18" s="941"/>
      <c r="Q18" s="941"/>
      <c r="R18" s="958"/>
      <c r="S18" s="963"/>
      <c r="T18" s="957"/>
      <c r="U18" s="958"/>
      <c r="V18" s="958"/>
      <c r="X18" s="957"/>
      <c r="Y18" s="958"/>
    </row>
    <row r="19" spans="1:29" s="893" customFormat="1" ht="11.25" customHeight="1">
      <c r="A19" s="932"/>
      <c r="B19" s="933">
        <v>45393</v>
      </c>
      <c r="C19" s="934"/>
      <c r="D19" s="932" t="s">
        <v>234</v>
      </c>
      <c r="E19" s="932" t="s">
        <v>1202</v>
      </c>
      <c r="F19" s="932" t="s">
        <v>169</v>
      </c>
      <c r="G19" s="935" t="s">
        <v>1621</v>
      </c>
      <c r="H19" s="936" t="s">
        <v>1621</v>
      </c>
      <c r="I19" s="936" t="s">
        <v>1621</v>
      </c>
      <c r="J19" s="943">
        <v>44926</v>
      </c>
      <c r="K19" s="936" t="s">
        <v>1621</v>
      </c>
      <c r="L19" s="938">
        <v>65</v>
      </c>
      <c r="M19" s="938" t="s">
        <v>1622</v>
      </c>
      <c r="N19" s="898"/>
      <c r="O19" s="935"/>
      <c r="P19" s="936"/>
      <c r="Q19" s="936"/>
      <c r="R19" s="943"/>
      <c r="S19" s="936"/>
      <c r="T19" s="938"/>
      <c r="U19" s="958"/>
      <c r="V19" s="958"/>
      <c r="X19" s="957"/>
      <c r="Y19" s="958"/>
    </row>
    <row r="20" spans="1:29" s="893" customFormat="1" ht="11.25" customHeight="1">
      <c r="A20" s="932"/>
      <c r="B20" s="933">
        <v>45399</v>
      </c>
      <c r="C20" s="934"/>
      <c r="D20" s="932" t="s">
        <v>1690</v>
      </c>
      <c r="E20" s="932" t="s">
        <v>553</v>
      </c>
      <c r="F20" s="932" t="s">
        <v>157</v>
      </c>
      <c r="G20" s="896">
        <v>6.85</v>
      </c>
      <c r="H20" s="936">
        <v>9.9</v>
      </c>
      <c r="I20" s="936">
        <v>44.36</v>
      </c>
      <c r="J20" s="943">
        <v>44926</v>
      </c>
      <c r="K20" s="935" t="s">
        <v>1620</v>
      </c>
      <c r="L20" s="938">
        <v>71.037000000000006</v>
      </c>
      <c r="M20" s="938" t="s">
        <v>1290</v>
      </c>
      <c r="N20" s="898"/>
      <c r="O20" s="896"/>
      <c r="P20" s="936"/>
      <c r="Q20" s="936"/>
      <c r="R20" s="943"/>
      <c r="S20" s="935"/>
      <c r="T20" s="938"/>
      <c r="U20" s="958"/>
      <c r="V20" s="958"/>
      <c r="X20" s="957"/>
      <c r="Y20" s="958"/>
    </row>
    <row r="21" spans="1:29" s="893" customFormat="1" ht="11.25" customHeight="1">
      <c r="A21" s="932"/>
      <c r="B21" s="933">
        <v>45400</v>
      </c>
      <c r="C21" s="934"/>
      <c r="D21" s="932" t="s">
        <v>211</v>
      </c>
      <c r="E21" s="932" t="s">
        <v>760</v>
      </c>
      <c r="F21" s="932" t="s">
        <v>212</v>
      </c>
      <c r="G21" s="896">
        <v>6.97</v>
      </c>
      <c r="H21" s="936">
        <v>9.6</v>
      </c>
      <c r="I21" s="936">
        <v>50.5</v>
      </c>
      <c r="J21" s="943">
        <v>45107</v>
      </c>
      <c r="K21" s="936" t="s">
        <v>1621</v>
      </c>
      <c r="L21" s="938">
        <v>42.25</v>
      </c>
      <c r="M21" s="938" t="s">
        <v>1691</v>
      </c>
      <c r="N21" s="898"/>
      <c r="O21" s="896"/>
      <c r="P21" s="936"/>
      <c r="Q21" s="936"/>
      <c r="R21" s="943"/>
      <c r="S21" s="936"/>
      <c r="T21" s="938"/>
      <c r="U21" s="958"/>
      <c r="V21" s="958"/>
      <c r="X21" s="957"/>
      <c r="Y21" s="958"/>
    </row>
    <row r="22" spans="1:29" s="893" customFormat="1" ht="11.25" customHeight="1">
      <c r="A22" s="932"/>
      <c r="B22" s="933">
        <v>45420</v>
      </c>
      <c r="C22" s="934"/>
      <c r="D22" s="932" t="s">
        <v>156</v>
      </c>
      <c r="E22" s="932" t="s">
        <v>551</v>
      </c>
      <c r="F22" s="932" t="s">
        <v>157</v>
      </c>
      <c r="G22" s="896">
        <v>6.12</v>
      </c>
      <c r="H22" s="936">
        <v>9.85</v>
      </c>
      <c r="I22" s="936" t="s">
        <v>1621</v>
      </c>
      <c r="J22" s="943">
        <v>45657</v>
      </c>
      <c r="K22" s="935" t="s">
        <v>1620</v>
      </c>
      <c r="L22" s="938">
        <v>61.541944000000001</v>
      </c>
      <c r="M22" s="938" t="s">
        <v>1627</v>
      </c>
      <c r="N22" s="898"/>
      <c r="O22" s="896"/>
      <c r="P22" s="936"/>
      <c r="Q22" s="936"/>
      <c r="R22" s="943"/>
      <c r="S22" s="935"/>
      <c r="T22" s="938"/>
      <c r="U22" s="958"/>
      <c r="V22" s="958"/>
      <c r="X22" s="957"/>
      <c r="Y22" s="958"/>
    </row>
    <row r="23" spans="1:29" s="893" customFormat="1" ht="11.25" customHeight="1">
      <c r="A23" s="932"/>
      <c r="B23" s="933">
        <v>45453</v>
      </c>
      <c r="C23" s="934"/>
      <c r="D23" s="932" t="s">
        <v>213</v>
      </c>
      <c r="E23" s="932" t="s">
        <v>760</v>
      </c>
      <c r="F23" s="932" t="s">
        <v>216</v>
      </c>
      <c r="G23" s="896">
        <v>7.13</v>
      </c>
      <c r="H23" s="936">
        <v>9.5</v>
      </c>
      <c r="I23" s="936">
        <v>50.5</v>
      </c>
      <c r="J23" s="943">
        <v>45381</v>
      </c>
      <c r="K23" s="935" t="s">
        <v>47</v>
      </c>
      <c r="L23" s="938">
        <v>44.628999999999998</v>
      </c>
      <c r="M23" s="938" t="s">
        <v>138</v>
      </c>
      <c r="N23" s="898"/>
      <c r="O23" s="896"/>
      <c r="P23" s="936"/>
      <c r="Q23" s="936"/>
      <c r="R23" s="943"/>
      <c r="S23" s="935"/>
      <c r="T23" s="938"/>
      <c r="U23" s="958"/>
      <c r="V23" s="958"/>
      <c r="X23" s="957"/>
      <c r="Y23" s="958"/>
    </row>
    <row r="24" spans="1:29" s="893" customFormat="1" ht="11.25" customHeight="1">
      <c r="A24" s="932"/>
      <c r="B24" s="933">
        <v>45462</v>
      </c>
      <c r="C24" s="934"/>
      <c r="D24" s="932" t="s">
        <v>1692</v>
      </c>
      <c r="E24" s="932" t="s">
        <v>1518</v>
      </c>
      <c r="F24" s="932" t="s">
        <v>160</v>
      </c>
      <c r="G24" s="936" t="s">
        <v>1621</v>
      </c>
      <c r="H24" s="936" t="s">
        <v>1621</v>
      </c>
      <c r="I24" s="936" t="s">
        <v>1621</v>
      </c>
      <c r="J24" s="936" t="s">
        <v>1621</v>
      </c>
      <c r="K24" s="936" t="s">
        <v>1621</v>
      </c>
      <c r="L24" s="938">
        <v>102.8</v>
      </c>
      <c r="M24" s="938" t="s">
        <v>1290</v>
      </c>
      <c r="N24" s="898"/>
      <c r="O24" s="936"/>
      <c r="P24" s="936"/>
      <c r="Q24" s="936"/>
      <c r="R24" s="936"/>
      <c r="S24" s="936"/>
      <c r="T24" s="938"/>
      <c r="U24" s="958"/>
      <c r="V24" s="958"/>
      <c r="X24" s="957"/>
      <c r="Y24" s="958"/>
    </row>
    <row r="25" spans="1:29" s="893" customFormat="1" ht="11.25" customHeight="1">
      <c r="A25" s="932"/>
      <c r="B25" s="933">
        <v>45463</v>
      </c>
      <c r="C25" s="934"/>
      <c r="D25" s="932" t="s">
        <v>186</v>
      </c>
      <c r="E25" s="932" t="s">
        <v>718</v>
      </c>
      <c r="F25" s="932" t="s">
        <v>190</v>
      </c>
      <c r="G25" s="896">
        <v>7.32</v>
      </c>
      <c r="H25" s="936">
        <v>9.94</v>
      </c>
      <c r="I25" s="936">
        <v>51.21</v>
      </c>
      <c r="J25" s="943">
        <v>44926</v>
      </c>
      <c r="K25" s="935" t="s">
        <v>1620</v>
      </c>
      <c r="L25" s="938">
        <v>233.84700000000001</v>
      </c>
      <c r="M25" s="938" t="s">
        <v>1627</v>
      </c>
      <c r="N25" s="898"/>
      <c r="O25" s="896"/>
      <c r="P25" s="936"/>
      <c r="Q25" s="936"/>
      <c r="R25" s="943"/>
      <c r="S25" s="935"/>
      <c r="T25" s="938"/>
      <c r="U25" s="958"/>
      <c r="V25" s="958"/>
      <c r="X25" s="957"/>
      <c r="Y25" s="958"/>
    </row>
    <row r="26" spans="1:29" s="893" customFormat="1" ht="11.25" customHeight="1">
      <c r="A26" s="932"/>
      <c r="B26" s="933">
        <v>45471</v>
      </c>
      <c r="C26" s="934"/>
      <c r="D26" s="932" t="s">
        <v>1693</v>
      </c>
      <c r="E26" s="932" t="s">
        <v>1694</v>
      </c>
      <c r="F26" s="932" t="s">
        <v>208</v>
      </c>
      <c r="G26" s="896">
        <v>7.46</v>
      </c>
      <c r="H26" s="936">
        <v>9.4</v>
      </c>
      <c r="I26" s="936">
        <v>52.26</v>
      </c>
      <c r="J26" s="943">
        <v>44926</v>
      </c>
      <c r="K26" s="935" t="s">
        <v>1620</v>
      </c>
      <c r="L26" s="938">
        <v>3.8672339999999998</v>
      </c>
      <c r="M26" s="938" t="s">
        <v>1695</v>
      </c>
      <c r="N26" s="898"/>
      <c r="O26" s="896"/>
      <c r="P26" s="936"/>
      <c r="Q26" s="936"/>
      <c r="R26" s="943"/>
      <c r="S26" s="935"/>
      <c r="T26" s="938"/>
      <c r="U26" s="958"/>
      <c r="V26" s="958"/>
      <c r="X26" s="957"/>
      <c r="Y26" s="958"/>
    </row>
    <row r="27" spans="1:29" s="893" customFormat="1" ht="11.25" customHeight="1">
      <c r="A27" s="932"/>
      <c r="B27" s="953"/>
      <c r="C27" s="948"/>
      <c r="D27" s="964" t="s">
        <v>1696</v>
      </c>
      <c r="E27" s="949"/>
      <c r="F27" s="950"/>
      <c r="G27" s="965">
        <v>7</v>
      </c>
      <c r="H27" s="965">
        <v>9.6999999999999993</v>
      </c>
      <c r="I27" s="965">
        <v>50.64</v>
      </c>
      <c r="J27" s="950"/>
      <c r="K27" s="965"/>
      <c r="L27" s="966">
        <v>756.7</v>
      </c>
      <c r="M27" s="967"/>
      <c r="N27" s="968"/>
      <c r="O27" s="969"/>
      <c r="P27" s="969"/>
      <c r="Q27" s="969"/>
      <c r="R27" s="969"/>
      <c r="S27" s="963"/>
      <c r="T27" s="957"/>
      <c r="U27" s="958"/>
      <c r="V27" s="958"/>
      <c r="X27" s="957"/>
      <c r="Y27" s="958"/>
    </row>
    <row r="28" spans="1:29" s="893" customFormat="1" ht="11.25" customHeight="1">
      <c r="A28" s="932"/>
      <c r="B28" s="953"/>
      <c r="C28" s="948"/>
      <c r="D28" s="949" t="s">
        <v>324</v>
      </c>
      <c r="E28" s="949"/>
      <c r="F28" s="950"/>
      <c r="G28" s="970">
        <v>9</v>
      </c>
      <c r="H28" s="950">
        <v>9</v>
      </c>
      <c r="I28" s="970">
        <v>8</v>
      </c>
      <c r="J28" s="950"/>
      <c r="K28" s="965"/>
      <c r="L28" s="950">
        <v>12</v>
      </c>
      <c r="M28" s="967"/>
      <c r="N28" s="968"/>
      <c r="O28" s="968"/>
      <c r="P28" s="971"/>
      <c r="Q28" s="958"/>
      <c r="R28" s="958"/>
      <c r="S28" s="963"/>
      <c r="T28" s="957"/>
      <c r="U28" s="958"/>
      <c r="V28" s="958"/>
      <c r="X28" s="957"/>
      <c r="Y28" s="958"/>
    </row>
    <row r="29" spans="1:29" s="1385" customFormat="1" ht="11.25" customHeight="1">
      <c r="B29" s="1386">
        <v>45475</v>
      </c>
      <c r="C29" s="1387"/>
      <c r="D29" s="1385" t="s">
        <v>156</v>
      </c>
      <c r="E29" s="1385" t="s">
        <v>551</v>
      </c>
      <c r="F29" s="1385" t="s">
        <v>161</v>
      </c>
      <c r="G29" s="1385">
        <v>6.03</v>
      </c>
      <c r="H29" s="1397">
        <v>9.86</v>
      </c>
      <c r="I29" s="1397">
        <v>40.200000000000003</v>
      </c>
      <c r="J29" s="1396">
        <v>45657</v>
      </c>
      <c r="K29" s="1388" t="s">
        <v>47</v>
      </c>
      <c r="L29" s="1398">
        <v>21.62</v>
      </c>
      <c r="M29" s="1391" t="s">
        <v>1628</v>
      </c>
      <c r="N29" s="1395"/>
      <c r="O29" s="1395"/>
      <c r="P29" s="1398"/>
      <c r="Q29" s="1398"/>
      <c r="R29" s="1399"/>
      <c r="S29" s="1400"/>
      <c r="T29" s="1401"/>
      <c r="U29" s="1399"/>
      <c r="V29" s="1399"/>
      <c r="X29" s="1401"/>
      <c r="Y29" s="1399"/>
    </row>
    <row r="30" spans="1:29" s="893" customFormat="1" ht="11.25" customHeight="1">
      <c r="A30" s="932"/>
      <c r="B30" s="933">
        <v>45491</v>
      </c>
      <c r="C30" s="934"/>
      <c r="D30" s="932" t="s">
        <v>1697</v>
      </c>
      <c r="E30" s="932" t="s">
        <v>1265</v>
      </c>
      <c r="F30" s="932" t="s">
        <v>178</v>
      </c>
      <c r="G30" s="932">
        <v>6.92</v>
      </c>
      <c r="H30" s="969">
        <v>9.5</v>
      </c>
      <c r="I30" s="969">
        <v>48</v>
      </c>
      <c r="J30" s="937">
        <v>45838</v>
      </c>
      <c r="K30" s="935" t="s">
        <v>47</v>
      </c>
      <c r="L30" s="971">
        <v>74.418000000000006</v>
      </c>
      <c r="M30" s="938" t="s">
        <v>138</v>
      </c>
      <c r="N30" s="968"/>
      <c r="O30" s="968"/>
      <c r="P30" s="971"/>
      <c r="Q30" s="971"/>
      <c r="R30" s="958"/>
      <c r="S30" s="963"/>
      <c r="T30" s="957"/>
      <c r="U30" s="958"/>
      <c r="V30" s="958"/>
      <c r="X30" s="957"/>
      <c r="Y30" s="958"/>
    </row>
    <row r="31" spans="1:29" s="893" customFormat="1" ht="11.25" customHeight="1">
      <c r="A31" s="932"/>
      <c r="B31" s="933">
        <v>45512</v>
      </c>
      <c r="C31" s="934"/>
      <c r="D31" s="932" t="s">
        <v>1698</v>
      </c>
      <c r="E31" s="932" t="s">
        <v>138</v>
      </c>
      <c r="F31" s="932" t="s">
        <v>190</v>
      </c>
      <c r="G31" s="932">
        <v>7.93</v>
      </c>
      <c r="H31" s="969">
        <v>9.94</v>
      </c>
      <c r="I31" s="969">
        <v>52.51</v>
      </c>
      <c r="J31" s="937">
        <v>45199</v>
      </c>
      <c r="K31" s="935" t="s">
        <v>1620</v>
      </c>
      <c r="L31" s="971">
        <v>219.47</v>
      </c>
      <c r="M31" s="938" t="s">
        <v>1290</v>
      </c>
      <c r="N31" s="968"/>
      <c r="O31" s="968"/>
      <c r="P31" s="971"/>
      <c r="Q31" s="971"/>
      <c r="R31" s="958"/>
      <c r="S31" s="963"/>
      <c r="T31" s="957"/>
      <c r="U31" s="958"/>
      <c r="V31" s="958"/>
      <c r="X31" s="957"/>
      <c r="Y31" s="958"/>
    </row>
    <row r="32" spans="1:29" s="893" customFormat="1" ht="11.25" customHeight="1">
      <c r="A32" s="932"/>
      <c r="B32" s="933">
        <v>45517</v>
      </c>
      <c r="C32" s="934"/>
      <c r="D32" s="932" t="s">
        <v>1699</v>
      </c>
      <c r="E32" s="932" t="s">
        <v>1658</v>
      </c>
      <c r="F32" s="932" t="s">
        <v>237</v>
      </c>
      <c r="G32" s="932">
        <v>7.01</v>
      </c>
      <c r="H32" s="936" t="s">
        <v>1621</v>
      </c>
      <c r="I32" s="936" t="s">
        <v>1621</v>
      </c>
      <c r="J32" s="937">
        <v>44926</v>
      </c>
      <c r="K32" s="935" t="s">
        <v>47</v>
      </c>
      <c r="L32" s="971">
        <v>4.5818560000000002</v>
      </c>
      <c r="M32" s="938" t="s">
        <v>1622</v>
      </c>
      <c r="N32" s="968"/>
      <c r="O32" s="968"/>
      <c r="P32" s="971"/>
      <c r="Q32" s="971"/>
      <c r="R32" s="958"/>
      <c r="S32" s="963"/>
      <c r="T32" s="957"/>
      <c r="U32" s="958"/>
      <c r="V32" s="958"/>
      <c r="X32" s="957"/>
      <c r="Y32" s="958"/>
    </row>
    <row r="33" spans="1:25" s="893" customFormat="1" ht="11.25" customHeight="1">
      <c r="A33" s="932"/>
      <c r="B33" s="933">
        <v>45525</v>
      </c>
      <c r="C33" s="934"/>
      <c r="D33" s="893" t="s">
        <v>182</v>
      </c>
      <c r="E33" s="932" t="s">
        <v>718</v>
      </c>
      <c r="F33" s="932" t="s">
        <v>183</v>
      </c>
      <c r="G33" s="932">
        <v>7.56</v>
      </c>
      <c r="H33" s="969">
        <v>10.3</v>
      </c>
      <c r="I33" s="969">
        <v>45.57</v>
      </c>
      <c r="J33" s="937">
        <v>46752</v>
      </c>
      <c r="K33" s="935" t="s">
        <v>1620</v>
      </c>
      <c r="L33" s="971">
        <v>470</v>
      </c>
      <c r="M33" s="938" t="s">
        <v>1627</v>
      </c>
      <c r="N33" s="968"/>
      <c r="O33" s="968"/>
      <c r="P33" s="971"/>
      <c r="Q33" s="971"/>
      <c r="R33" s="958"/>
      <c r="S33" s="963"/>
      <c r="T33" s="957"/>
      <c r="U33" s="958"/>
      <c r="V33" s="958"/>
      <c r="X33" s="957"/>
      <c r="Y33" s="958"/>
    </row>
    <row r="34" spans="1:25" s="893" customFormat="1" ht="11.25" customHeight="1">
      <c r="A34" s="932"/>
      <c r="B34" s="933">
        <v>45530</v>
      </c>
      <c r="C34" s="934"/>
      <c r="D34" s="932" t="s">
        <v>1700</v>
      </c>
      <c r="E34" s="932" t="s">
        <v>1518</v>
      </c>
      <c r="F34" s="932" t="s">
        <v>1701</v>
      </c>
      <c r="G34" s="932">
        <v>7.05</v>
      </c>
      <c r="H34" s="969">
        <v>9.9700000000000006</v>
      </c>
      <c r="I34" s="969">
        <v>49.81</v>
      </c>
      <c r="J34" s="937">
        <v>45930</v>
      </c>
      <c r="K34" s="935" t="s">
        <v>47</v>
      </c>
      <c r="L34" s="971">
        <v>38.06</v>
      </c>
      <c r="M34" s="972">
        <v>15</v>
      </c>
      <c r="N34" s="968"/>
      <c r="O34" s="968"/>
      <c r="P34" s="971"/>
      <c r="Q34" s="971"/>
      <c r="R34" s="958"/>
      <c r="S34" s="963"/>
      <c r="T34" s="957"/>
      <c r="U34" s="958"/>
      <c r="V34" s="958"/>
      <c r="X34" s="957"/>
      <c r="Y34" s="958"/>
    </row>
    <row r="35" spans="1:25" s="893" customFormat="1" ht="11.25" customHeight="1">
      <c r="A35" s="932"/>
      <c r="B35" s="933">
        <v>45552</v>
      </c>
      <c r="C35" s="934"/>
      <c r="D35" s="932" t="s">
        <v>1702</v>
      </c>
      <c r="E35" s="932" t="s">
        <v>909</v>
      </c>
      <c r="F35" s="932" t="s">
        <v>145</v>
      </c>
      <c r="G35" s="932">
        <v>7.29</v>
      </c>
      <c r="H35" s="969">
        <v>9.8699999999999992</v>
      </c>
      <c r="I35" s="969">
        <v>51</v>
      </c>
      <c r="J35" s="937">
        <v>45930</v>
      </c>
      <c r="K35" s="935" t="s">
        <v>47</v>
      </c>
      <c r="L35" s="971">
        <v>185</v>
      </c>
      <c r="M35" s="938" t="s">
        <v>1290</v>
      </c>
      <c r="N35" s="968"/>
      <c r="O35" s="968"/>
      <c r="P35" s="971"/>
      <c r="Q35" s="971"/>
      <c r="R35" s="958"/>
      <c r="S35" s="963"/>
      <c r="T35" s="957"/>
      <c r="U35" s="958"/>
      <c r="V35" s="958"/>
      <c r="X35" s="957"/>
      <c r="Y35" s="958"/>
    </row>
    <row r="36" spans="1:25" s="893" customFormat="1" ht="11.25" customHeight="1">
      <c r="A36" s="932"/>
      <c r="B36" s="933">
        <v>45553</v>
      </c>
      <c r="C36" s="934"/>
      <c r="D36" s="932" t="s">
        <v>170</v>
      </c>
      <c r="E36" s="932" t="s">
        <v>551</v>
      </c>
      <c r="F36" s="932" t="s">
        <v>173</v>
      </c>
      <c r="G36" s="935" t="s">
        <v>1621</v>
      </c>
      <c r="H36" s="936" t="s">
        <v>1621</v>
      </c>
      <c r="I36" s="936" t="s">
        <v>1621</v>
      </c>
      <c r="J36" s="943" t="s">
        <v>1621</v>
      </c>
      <c r="K36" s="935" t="s">
        <v>1621</v>
      </c>
      <c r="L36" s="938" t="s">
        <v>1621</v>
      </c>
      <c r="M36" s="938" t="s">
        <v>1674</v>
      </c>
      <c r="N36" s="968"/>
      <c r="O36" s="968"/>
      <c r="P36" s="971"/>
      <c r="Q36" s="971"/>
      <c r="R36" s="958"/>
      <c r="S36" s="963"/>
      <c r="T36" s="957"/>
      <c r="U36" s="958"/>
      <c r="V36" s="958"/>
      <c r="X36" s="957"/>
      <c r="Y36" s="958"/>
    </row>
    <row r="37" spans="1:25" s="893" customFormat="1" ht="11.25" customHeight="1">
      <c r="A37" s="932"/>
      <c r="B37" s="933">
        <v>45553</v>
      </c>
      <c r="C37" s="934"/>
      <c r="D37" s="932" t="s">
        <v>1703</v>
      </c>
      <c r="E37" s="932" t="s">
        <v>1630</v>
      </c>
      <c r="F37" s="932" t="s">
        <v>1704</v>
      </c>
      <c r="G37" s="932">
        <v>7.43</v>
      </c>
      <c r="H37" s="969">
        <v>9.74</v>
      </c>
      <c r="I37" s="969">
        <v>52.4</v>
      </c>
      <c r="J37" s="937">
        <v>45199</v>
      </c>
      <c r="K37" s="935" t="s">
        <v>1620</v>
      </c>
      <c r="L37" s="971">
        <v>40.299999999999997</v>
      </c>
      <c r="M37" s="972">
        <v>16</v>
      </c>
      <c r="N37" s="968"/>
      <c r="O37" s="968"/>
      <c r="P37" s="971"/>
      <c r="Q37" s="971"/>
      <c r="R37" s="958"/>
      <c r="S37" s="963"/>
      <c r="T37" s="957"/>
      <c r="U37" s="958"/>
      <c r="V37" s="958"/>
      <c r="X37" s="957"/>
      <c r="Y37" s="958"/>
    </row>
    <row r="38" spans="1:25" s="893" customFormat="1" ht="11.25" customHeight="1">
      <c r="A38" s="932"/>
      <c r="B38" s="933">
        <v>45558</v>
      </c>
      <c r="C38" s="934"/>
      <c r="D38" s="932" t="s">
        <v>221</v>
      </c>
      <c r="E38" s="932" t="s">
        <v>1270</v>
      </c>
      <c r="F38" s="932" t="s">
        <v>223</v>
      </c>
      <c r="G38" s="932">
        <v>7.3</v>
      </c>
      <c r="H38" s="969">
        <v>9.5</v>
      </c>
      <c r="I38" s="969">
        <v>50</v>
      </c>
      <c r="J38" s="937">
        <v>45657</v>
      </c>
      <c r="K38" s="935" t="s">
        <v>47</v>
      </c>
      <c r="L38" s="971">
        <v>6.7317939999999998</v>
      </c>
      <c r="M38" s="938" t="s">
        <v>1290</v>
      </c>
      <c r="N38" s="968"/>
      <c r="O38" s="968"/>
      <c r="P38" s="971"/>
      <c r="Q38" s="971"/>
      <c r="R38" s="958"/>
      <c r="S38" s="963"/>
      <c r="T38" s="957"/>
      <c r="U38" s="958"/>
      <c r="V38" s="958"/>
      <c r="X38" s="957"/>
      <c r="Y38" s="958"/>
    </row>
    <row r="39" spans="1:25" s="893" customFormat="1" ht="11.25" customHeight="1">
      <c r="A39" s="932"/>
      <c r="B39" s="933">
        <v>45561</v>
      </c>
      <c r="C39" s="934"/>
      <c r="D39" s="932" t="s">
        <v>1705</v>
      </c>
      <c r="E39" s="932" t="s">
        <v>1518</v>
      </c>
      <c r="F39" s="932" t="s">
        <v>161</v>
      </c>
      <c r="G39" s="936" t="s">
        <v>1621</v>
      </c>
      <c r="H39" s="969">
        <v>9.86</v>
      </c>
      <c r="I39" s="936" t="s">
        <v>1621</v>
      </c>
      <c r="J39" s="937">
        <v>46022</v>
      </c>
      <c r="K39" s="935" t="s">
        <v>47</v>
      </c>
      <c r="L39" s="971">
        <v>9</v>
      </c>
      <c r="M39" s="938" t="s">
        <v>1290</v>
      </c>
      <c r="N39" s="968"/>
      <c r="O39" s="968"/>
      <c r="P39" s="971"/>
      <c r="Q39" s="971"/>
      <c r="R39" s="958"/>
      <c r="S39" s="963"/>
      <c r="T39" s="957"/>
      <c r="U39" s="958"/>
      <c r="V39" s="958"/>
      <c r="X39" s="957"/>
      <c r="Y39" s="958"/>
    </row>
    <row r="40" spans="1:25" s="893" customFormat="1" ht="11.25" customHeight="1">
      <c r="A40" s="932"/>
      <c r="B40" s="933">
        <v>45565</v>
      </c>
      <c r="C40" s="934"/>
      <c r="D40" s="932" t="s">
        <v>1706</v>
      </c>
      <c r="E40" s="932" t="s">
        <v>1707</v>
      </c>
      <c r="F40" s="932" t="s">
        <v>208</v>
      </c>
      <c r="G40" s="932">
        <v>7.09</v>
      </c>
      <c r="H40" s="969">
        <v>9.35</v>
      </c>
      <c r="I40" s="969">
        <v>52.83</v>
      </c>
      <c r="J40" s="937">
        <v>45016</v>
      </c>
      <c r="K40" s="935" t="s">
        <v>1620</v>
      </c>
      <c r="L40" s="971">
        <v>90.2</v>
      </c>
      <c r="M40" s="938" t="s">
        <v>1695</v>
      </c>
      <c r="N40" s="968"/>
      <c r="O40" s="968"/>
      <c r="P40" s="973"/>
      <c r="Q40" s="971"/>
      <c r="R40" s="958"/>
      <c r="S40" s="963"/>
      <c r="T40" s="957"/>
      <c r="U40" s="958"/>
      <c r="V40" s="958"/>
      <c r="X40" s="957"/>
      <c r="Y40" s="958"/>
    </row>
    <row r="41" spans="1:25" s="893" customFormat="1" ht="11.25" customHeight="1">
      <c r="A41" s="932"/>
      <c r="B41" s="974"/>
      <c r="C41" s="948"/>
      <c r="D41" s="964" t="s">
        <v>1708</v>
      </c>
      <c r="E41" s="949"/>
      <c r="F41" s="950"/>
      <c r="G41" s="965">
        <v>7.11</v>
      </c>
      <c r="H41" s="950">
        <v>9.7200000000000006</v>
      </c>
      <c r="I41" s="965">
        <v>50.07</v>
      </c>
      <c r="J41" s="950"/>
      <c r="K41" s="952"/>
      <c r="L41" s="966">
        <v>1427.6</v>
      </c>
      <c r="M41" s="967"/>
      <c r="N41" s="968"/>
      <c r="O41" s="968"/>
      <c r="P41" s="975"/>
      <c r="Q41" s="958"/>
      <c r="R41" s="958"/>
      <c r="S41" s="963"/>
      <c r="T41" s="957"/>
      <c r="U41" s="958"/>
      <c r="V41" s="958"/>
      <c r="X41" s="957"/>
      <c r="Y41" s="958"/>
    </row>
    <row r="42" spans="1:25" s="893" customFormat="1" ht="11.25" customHeight="1">
      <c r="A42" s="932"/>
      <c r="B42" s="974"/>
      <c r="C42" s="948"/>
      <c r="D42" s="949" t="s">
        <v>324</v>
      </c>
      <c r="E42" s="949"/>
      <c r="F42" s="950"/>
      <c r="G42" s="970">
        <v>16</v>
      </c>
      <c r="H42" s="950">
        <v>16</v>
      </c>
      <c r="I42" s="970">
        <v>15</v>
      </c>
      <c r="J42" s="950"/>
      <c r="K42" s="952"/>
      <c r="L42" s="950">
        <v>17</v>
      </c>
      <c r="M42" s="967"/>
      <c r="N42" s="968"/>
      <c r="O42" s="968"/>
      <c r="P42" s="975"/>
      <c r="Q42" s="958"/>
      <c r="R42" s="958"/>
      <c r="S42" s="963"/>
      <c r="T42" s="957"/>
      <c r="U42" s="958"/>
      <c r="V42" s="958"/>
      <c r="X42" s="957"/>
      <c r="Y42" s="958"/>
    </row>
    <row r="43" spans="1:25" s="893" customFormat="1" ht="11.25" customHeight="1">
      <c r="A43" s="932"/>
      <c r="B43" s="934">
        <v>45568</v>
      </c>
      <c r="C43" s="934"/>
      <c r="D43" s="893" t="s">
        <v>168</v>
      </c>
      <c r="E43" s="932" t="s">
        <v>551</v>
      </c>
      <c r="F43" s="932" t="s">
        <v>169</v>
      </c>
      <c r="G43" s="936">
        <v>6.66</v>
      </c>
      <c r="H43" s="969">
        <v>9.76</v>
      </c>
      <c r="I43" s="936">
        <v>42.5</v>
      </c>
      <c r="J43" s="937">
        <v>45199</v>
      </c>
      <c r="K43" s="935" t="s">
        <v>1620</v>
      </c>
      <c r="L43" s="971">
        <v>45.499006999999999</v>
      </c>
      <c r="M43" s="938" t="s">
        <v>1639</v>
      </c>
      <c r="N43" s="968"/>
      <c r="O43" s="936"/>
      <c r="P43" s="969"/>
      <c r="Q43" s="936"/>
      <c r="R43" s="937"/>
      <c r="S43" s="935"/>
      <c r="T43" s="971"/>
      <c r="U43" s="958"/>
      <c r="V43" s="958"/>
      <c r="X43" s="957"/>
      <c r="Y43" s="958"/>
    </row>
    <row r="44" spans="1:25" s="893" customFormat="1" ht="11.25" customHeight="1">
      <c r="A44" s="932"/>
      <c r="B44" s="934">
        <v>45574</v>
      </c>
      <c r="C44" s="934"/>
      <c r="D44" s="893" t="s">
        <v>1709</v>
      </c>
      <c r="E44" s="932" t="s">
        <v>1016</v>
      </c>
      <c r="F44" s="932" t="s">
        <v>176</v>
      </c>
      <c r="G44" s="936">
        <v>7.07</v>
      </c>
      <c r="H44" s="969">
        <v>9.6</v>
      </c>
      <c r="I44" s="936">
        <v>55</v>
      </c>
      <c r="J44" s="937">
        <v>45443</v>
      </c>
      <c r="K44" s="935" t="s">
        <v>1620</v>
      </c>
      <c r="L44" s="971">
        <v>440.5</v>
      </c>
      <c r="M44" s="938" t="s">
        <v>1639</v>
      </c>
      <c r="N44" s="968"/>
      <c r="O44" s="936"/>
      <c r="P44" s="969"/>
      <c r="Q44" s="936"/>
      <c r="R44" s="937"/>
      <c r="S44" s="935"/>
      <c r="T44" s="971"/>
      <c r="U44" s="958"/>
      <c r="V44" s="958"/>
      <c r="X44" s="957"/>
      <c r="Y44" s="958"/>
    </row>
    <row r="45" spans="1:25" s="893" customFormat="1" ht="11.25" customHeight="1">
      <c r="A45" s="932"/>
      <c r="B45" s="934">
        <v>45575</v>
      </c>
      <c r="C45" s="934"/>
      <c r="D45" s="893" t="s">
        <v>1710</v>
      </c>
      <c r="E45" s="932" t="s">
        <v>1183</v>
      </c>
      <c r="F45" s="932" t="s">
        <v>161</v>
      </c>
      <c r="G45" s="936" t="s">
        <v>1621</v>
      </c>
      <c r="H45" s="969">
        <v>9.86</v>
      </c>
      <c r="I45" s="936" t="s">
        <v>1621</v>
      </c>
      <c r="J45" s="937">
        <v>46022</v>
      </c>
      <c r="K45" s="935" t="s">
        <v>47</v>
      </c>
      <c r="L45" s="971">
        <v>6.6</v>
      </c>
      <c r="M45" s="938" t="s">
        <v>1290</v>
      </c>
      <c r="N45" s="968"/>
      <c r="O45" s="936"/>
      <c r="P45" s="969"/>
      <c r="Q45" s="936"/>
      <c r="R45" s="937"/>
      <c r="S45" s="935"/>
      <c r="T45" s="971"/>
      <c r="U45" s="958"/>
      <c r="V45" s="958"/>
      <c r="X45" s="957"/>
      <c r="Y45" s="958"/>
    </row>
    <row r="46" spans="1:25" s="893" customFormat="1" ht="11.25" customHeight="1">
      <c r="A46" s="932"/>
      <c r="B46" s="934">
        <v>45582</v>
      </c>
      <c r="C46" s="934"/>
      <c r="D46" s="893" t="s">
        <v>1711</v>
      </c>
      <c r="E46" s="932" t="s">
        <v>1013</v>
      </c>
      <c r="F46" s="893" t="s">
        <v>228</v>
      </c>
      <c r="G46" s="896">
        <v>7.66</v>
      </c>
      <c r="H46" s="941">
        <v>10.28</v>
      </c>
      <c r="I46" s="936" t="s">
        <v>1621</v>
      </c>
      <c r="J46" s="936" t="s">
        <v>1621</v>
      </c>
      <c r="K46" s="936" t="s">
        <v>1621</v>
      </c>
      <c r="L46" s="942">
        <v>-114.9</v>
      </c>
      <c r="M46" s="940">
        <v>18</v>
      </c>
      <c r="N46" s="968"/>
      <c r="O46" s="896"/>
      <c r="P46" s="941"/>
      <c r="Q46" s="941"/>
      <c r="R46" s="976"/>
      <c r="S46" s="896"/>
      <c r="T46" s="942"/>
      <c r="U46" s="958"/>
      <c r="V46" s="958"/>
      <c r="X46" s="957"/>
      <c r="Y46" s="958"/>
    </row>
    <row r="47" spans="1:25" s="893" customFormat="1" ht="11.25" customHeight="1">
      <c r="A47" s="932"/>
      <c r="B47" s="934">
        <v>45582</v>
      </c>
      <c r="C47" s="934"/>
      <c r="D47" s="893" t="s">
        <v>227</v>
      </c>
      <c r="E47" s="932" t="s">
        <v>1097</v>
      </c>
      <c r="F47" s="893" t="s">
        <v>228</v>
      </c>
      <c r="G47" s="896">
        <v>7.45</v>
      </c>
      <c r="H47" s="941">
        <v>10.23</v>
      </c>
      <c r="I47" s="936" t="s">
        <v>1621</v>
      </c>
      <c r="J47" s="936" t="s">
        <v>1621</v>
      </c>
      <c r="K47" s="936" t="s">
        <v>1621</v>
      </c>
      <c r="L47" s="942">
        <v>-24.9</v>
      </c>
      <c r="M47" s="940">
        <v>18</v>
      </c>
      <c r="N47" s="968"/>
      <c r="O47" s="896"/>
      <c r="P47" s="941"/>
      <c r="Q47" s="941"/>
      <c r="R47" s="976"/>
      <c r="S47" s="896"/>
      <c r="T47" s="942"/>
      <c r="U47" s="958"/>
      <c r="V47" s="958"/>
      <c r="X47" s="957"/>
      <c r="Y47" s="958"/>
    </row>
    <row r="48" spans="1:25" s="893" customFormat="1" ht="11.25" customHeight="1">
      <c r="A48" s="932"/>
      <c r="B48" s="934">
        <v>45582</v>
      </c>
      <c r="C48" s="934"/>
      <c r="D48" s="893" t="s">
        <v>1570</v>
      </c>
      <c r="E48" s="932" t="s">
        <v>733</v>
      </c>
      <c r="F48" s="893" t="s">
        <v>228</v>
      </c>
      <c r="G48" s="896">
        <v>7.66</v>
      </c>
      <c r="H48" s="941">
        <v>10.33</v>
      </c>
      <c r="I48" s="936" t="s">
        <v>1621</v>
      </c>
      <c r="J48" s="936" t="s">
        <v>1621</v>
      </c>
      <c r="K48" s="936" t="s">
        <v>1621</v>
      </c>
      <c r="L48" s="942">
        <v>-104.4</v>
      </c>
      <c r="M48" s="940">
        <v>18</v>
      </c>
      <c r="N48" s="968"/>
      <c r="O48" s="896"/>
      <c r="P48" s="941"/>
      <c r="Q48" s="941"/>
      <c r="R48" s="976"/>
      <c r="S48" s="896"/>
      <c r="T48" s="942"/>
      <c r="U48" s="958"/>
      <c r="V48" s="958"/>
      <c r="X48" s="957"/>
      <c r="Y48" s="958"/>
    </row>
    <row r="49" spans="1:25" s="893" customFormat="1" ht="11.25" customHeight="1">
      <c r="A49" s="932"/>
      <c r="B49" s="934">
        <v>45589</v>
      </c>
      <c r="C49" s="934"/>
      <c r="D49" s="893" t="s">
        <v>1712</v>
      </c>
      <c r="E49" s="932" t="s">
        <v>1260</v>
      </c>
      <c r="F49" s="932" t="s">
        <v>142</v>
      </c>
      <c r="G49" s="936">
        <v>7.25</v>
      </c>
      <c r="H49" s="936">
        <v>9.7799999999999994</v>
      </c>
      <c r="I49" s="936">
        <v>53</v>
      </c>
      <c r="J49" s="943">
        <v>45657</v>
      </c>
      <c r="K49" s="935" t="s">
        <v>47</v>
      </c>
      <c r="L49" s="971">
        <v>89.168082999999996</v>
      </c>
      <c r="M49" s="938" t="s">
        <v>1622</v>
      </c>
      <c r="N49" s="968"/>
      <c r="O49" s="936"/>
      <c r="P49" s="936"/>
      <c r="Q49" s="936"/>
      <c r="R49" s="943"/>
      <c r="S49" s="935"/>
      <c r="T49" s="971"/>
      <c r="U49" s="958"/>
      <c r="V49" s="958"/>
      <c r="X49" s="957"/>
      <c r="Y49" s="958"/>
    </row>
    <row r="50" spans="1:25" s="893" customFormat="1" ht="11.25" customHeight="1">
      <c r="A50" s="932"/>
      <c r="B50" s="934">
        <v>45603</v>
      </c>
      <c r="C50" s="934"/>
      <c r="D50" s="893" t="s">
        <v>1713</v>
      </c>
      <c r="E50" s="932" t="s">
        <v>1518</v>
      </c>
      <c r="F50" s="932" t="s">
        <v>219</v>
      </c>
      <c r="G50" s="936" t="s">
        <v>1621</v>
      </c>
      <c r="H50" s="936" t="s">
        <v>1621</v>
      </c>
      <c r="I50" s="936" t="s">
        <v>1621</v>
      </c>
      <c r="J50" s="943">
        <v>46022</v>
      </c>
      <c r="K50" s="935" t="s">
        <v>1621</v>
      </c>
      <c r="L50" s="971">
        <v>85.1</v>
      </c>
      <c r="M50" s="938" t="s">
        <v>1639</v>
      </c>
      <c r="N50" s="968"/>
      <c r="O50" s="936"/>
      <c r="P50" s="936"/>
      <c r="Q50" s="936"/>
      <c r="R50" s="943"/>
      <c r="S50" s="935"/>
      <c r="T50" s="971"/>
      <c r="U50" s="958"/>
      <c r="V50" s="958"/>
      <c r="X50" s="957"/>
      <c r="Y50" s="958"/>
    </row>
    <row r="51" spans="1:25" s="893" customFormat="1" ht="11.25" customHeight="1">
      <c r="A51" s="932"/>
      <c r="B51" s="934">
        <v>45616</v>
      </c>
      <c r="C51" s="934"/>
      <c r="D51" s="893" t="s">
        <v>170</v>
      </c>
      <c r="E51" s="932" t="s">
        <v>551</v>
      </c>
      <c r="F51" s="932" t="s">
        <v>171</v>
      </c>
      <c r="G51" s="936">
        <v>7.26</v>
      </c>
      <c r="H51" s="936">
        <v>9.75</v>
      </c>
      <c r="I51" s="936">
        <v>48.24</v>
      </c>
      <c r="J51" s="943">
        <v>46022</v>
      </c>
      <c r="K51" s="935" t="s">
        <v>1621</v>
      </c>
      <c r="L51" s="971">
        <v>9.7683000000000018</v>
      </c>
      <c r="M51" s="972">
        <v>20</v>
      </c>
      <c r="N51" s="968"/>
      <c r="O51" s="936"/>
      <c r="P51" s="936"/>
      <c r="Q51" s="936"/>
      <c r="R51" s="943"/>
      <c r="S51" s="935"/>
      <c r="T51" s="971"/>
      <c r="U51" s="971"/>
      <c r="V51" s="971"/>
      <c r="W51" s="971"/>
      <c r="X51" s="971"/>
      <c r="Y51" s="958"/>
    </row>
    <row r="52" spans="1:25" s="893" customFormat="1" ht="11.25" customHeight="1">
      <c r="A52" s="932"/>
      <c r="B52" s="934">
        <v>45617</v>
      </c>
      <c r="C52" s="934"/>
      <c r="D52" s="893" t="s">
        <v>1714</v>
      </c>
      <c r="E52" s="932" t="s">
        <v>776</v>
      </c>
      <c r="F52" s="932" t="s">
        <v>219</v>
      </c>
      <c r="G52" s="936" t="s">
        <v>1621</v>
      </c>
      <c r="H52" s="936" t="s">
        <v>1621</v>
      </c>
      <c r="I52" s="936" t="s">
        <v>1621</v>
      </c>
      <c r="J52" s="943">
        <v>46022</v>
      </c>
      <c r="K52" s="935" t="s">
        <v>1621</v>
      </c>
      <c r="L52" s="971">
        <v>39.6</v>
      </c>
      <c r="M52" s="938" t="s">
        <v>1639</v>
      </c>
      <c r="N52" s="968"/>
      <c r="O52" s="936"/>
      <c r="P52" s="936"/>
      <c r="Q52" s="936"/>
      <c r="R52" s="943"/>
      <c r="S52" s="935"/>
      <c r="T52" s="971"/>
      <c r="U52" s="958"/>
      <c r="V52" s="958"/>
      <c r="X52" s="957"/>
      <c r="Y52" s="958"/>
    </row>
    <row r="53" spans="1:25" s="893" customFormat="1" ht="11.25" customHeight="1">
      <c r="A53" s="932"/>
      <c r="B53" s="934">
        <v>45617</v>
      </c>
      <c r="C53" s="934"/>
      <c r="D53" s="893" t="s">
        <v>1715</v>
      </c>
      <c r="E53" s="932" t="s">
        <v>776</v>
      </c>
      <c r="F53" s="932" t="s">
        <v>219</v>
      </c>
      <c r="G53" s="936" t="s">
        <v>1621</v>
      </c>
      <c r="H53" s="936" t="s">
        <v>1621</v>
      </c>
      <c r="I53" s="936" t="s">
        <v>1621</v>
      </c>
      <c r="J53" s="943">
        <v>46022</v>
      </c>
      <c r="K53" s="935" t="s">
        <v>1621</v>
      </c>
      <c r="L53" s="971">
        <v>57.69</v>
      </c>
      <c r="M53" s="938" t="s">
        <v>1639</v>
      </c>
      <c r="N53" s="968"/>
      <c r="O53" s="936"/>
      <c r="P53" s="936"/>
      <c r="Q53" s="936"/>
      <c r="R53" s="943"/>
      <c r="S53" s="935"/>
      <c r="T53" s="971"/>
      <c r="U53" s="958"/>
      <c r="V53" s="958"/>
      <c r="X53" s="957"/>
      <c r="Y53" s="958"/>
    </row>
    <row r="54" spans="1:25" s="893" customFormat="1" ht="11.25" customHeight="1">
      <c r="A54" s="932"/>
      <c r="B54" s="934">
        <v>45617</v>
      </c>
      <c r="C54" s="934"/>
      <c r="D54" s="893" t="s">
        <v>1716</v>
      </c>
      <c r="E54" s="932" t="s">
        <v>776</v>
      </c>
      <c r="F54" s="932" t="s">
        <v>219</v>
      </c>
      <c r="G54" s="936" t="s">
        <v>1621</v>
      </c>
      <c r="H54" s="936" t="s">
        <v>1621</v>
      </c>
      <c r="I54" s="936" t="s">
        <v>1621</v>
      </c>
      <c r="J54" s="943">
        <v>45657</v>
      </c>
      <c r="K54" s="935" t="s">
        <v>1621</v>
      </c>
      <c r="L54" s="971">
        <v>24.98</v>
      </c>
      <c r="M54" s="938" t="s">
        <v>1639</v>
      </c>
      <c r="N54" s="968"/>
      <c r="O54" s="936"/>
      <c r="P54" s="936"/>
      <c r="Q54" s="936"/>
      <c r="R54" s="943"/>
      <c r="S54" s="935"/>
      <c r="T54" s="971"/>
      <c r="U54" s="958"/>
      <c r="V54" s="958"/>
      <c r="X54" s="957"/>
      <c r="Y54" s="958"/>
    </row>
    <row r="55" spans="1:25" s="893" customFormat="1" ht="11.25" customHeight="1">
      <c r="A55" s="932"/>
      <c r="B55" s="934">
        <v>45617</v>
      </c>
      <c r="C55" s="934"/>
      <c r="D55" s="893" t="s">
        <v>1717</v>
      </c>
      <c r="E55" s="932" t="s">
        <v>776</v>
      </c>
      <c r="F55" s="932" t="s">
        <v>219</v>
      </c>
      <c r="G55" s="936" t="s">
        <v>1621</v>
      </c>
      <c r="H55" s="936" t="s">
        <v>1621</v>
      </c>
      <c r="I55" s="936" t="s">
        <v>1621</v>
      </c>
      <c r="J55" s="943">
        <v>46022</v>
      </c>
      <c r="K55" s="935" t="s">
        <v>1621</v>
      </c>
      <c r="L55" s="971">
        <v>102.73</v>
      </c>
      <c r="M55" s="938" t="s">
        <v>1639</v>
      </c>
      <c r="N55" s="968"/>
      <c r="O55" s="936"/>
      <c r="P55" s="936"/>
      <c r="Q55" s="936"/>
      <c r="R55" s="943"/>
      <c r="S55" s="935"/>
      <c r="T55" s="971"/>
      <c r="U55" s="958"/>
      <c r="V55" s="958"/>
      <c r="X55" s="957"/>
      <c r="Y55" s="958"/>
    </row>
    <row r="56" spans="1:25" s="893" customFormat="1" ht="11.25" customHeight="1">
      <c r="A56" s="932"/>
      <c r="B56" s="934">
        <v>45621</v>
      </c>
      <c r="C56" s="934"/>
      <c r="D56" s="893" t="s">
        <v>213</v>
      </c>
      <c r="E56" s="932" t="s">
        <v>760</v>
      </c>
      <c r="F56" s="932" t="s">
        <v>214</v>
      </c>
      <c r="G56" s="936">
        <v>7.29</v>
      </c>
      <c r="H56" s="936">
        <v>9.5</v>
      </c>
      <c r="I56" s="936">
        <v>50.5</v>
      </c>
      <c r="J56" s="943">
        <v>46387</v>
      </c>
      <c r="K56" s="935" t="s">
        <v>47</v>
      </c>
      <c r="L56" s="971">
        <v>123.351</v>
      </c>
      <c r="M56" s="938" t="s">
        <v>1695</v>
      </c>
      <c r="N56" s="968"/>
      <c r="O56" s="936"/>
      <c r="P56" s="936"/>
      <c r="Q56" s="936"/>
      <c r="R56" s="943"/>
      <c r="S56" s="935"/>
      <c r="T56" s="971"/>
      <c r="U56" s="958"/>
      <c r="V56" s="958"/>
      <c r="X56" s="957"/>
      <c r="Y56" s="958"/>
    </row>
    <row r="57" spans="1:25" s="893" customFormat="1" ht="11.25" customHeight="1">
      <c r="A57" s="932"/>
      <c r="B57" s="934">
        <v>45622</v>
      </c>
      <c r="C57" s="934"/>
      <c r="D57" s="893" t="s">
        <v>1688</v>
      </c>
      <c r="E57" s="932" t="s">
        <v>1273</v>
      </c>
      <c r="F57" s="932" t="s">
        <v>165</v>
      </c>
      <c r="G57" s="936" t="s">
        <v>1621</v>
      </c>
      <c r="H57" s="936">
        <v>9.5</v>
      </c>
      <c r="I57" s="936">
        <v>53.5</v>
      </c>
      <c r="J57" s="943">
        <v>45199</v>
      </c>
      <c r="K57" s="935" t="s">
        <v>1621</v>
      </c>
      <c r="L57" s="971">
        <v>126.66</v>
      </c>
      <c r="M57" s="938" t="s">
        <v>1622</v>
      </c>
      <c r="N57" s="968"/>
      <c r="O57" s="936"/>
      <c r="P57" s="936"/>
      <c r="Q57" s="936"/>
      <c r="R57" s="943"/>
      <c r="S57" s="935"/>
      <c r="T57" s="971"/>
      <c r="U57" s="958"/>
      <c r="V57" s="958"/>
      <c r="X57" s="957"/>
      <c r="Y57" s="958"/>
    </row>
    <row r="58" spans="1:25" s="893" customFormat="1" ht="11.25" customHeight="1">
      <c r="A58" s="932"/>
      <c r="B58" s="934">
        <v>45629</v>
      </c>
      <c r="C58" s="934"/>
      <c r="D58" s="893" t="s">
        <v>1718</v>
      </c>
      <c r="E58" s="932" t="s">
        <v>1719</v>
      </c>
      <c r="F58" s="932" t="s">
        <v>183</v>
      </c>
      <c r="G58" s="936">
        <v>6.9</v>
      </c>
      <c r="H58" s="936">
        <v>10.5</v>
      </c>
      <c r="I58" s="936" t="s">
        <v>1621</v>
      </c>
      <c r="J58" s="943">
        <v>46022</v>
      </c>
      <c r="K58" s="935" t="s">
        <v>47</v>
      </c>
      <c r="L58" s="971">
        <v>184.881</v>
      </c>
      <c r="M58" s="938" t="s">
        <v>1624</v>
      </c>
      <c r="N58" s="968"/>
      <c r="O58" s="936"/>
      <c r="P58" s="936"/>
      <c r="Q58" s="936"/>
      <c r="R58" s="943"/>
      <c r="S58" s="935"/>
      <c r="T58" s="971"/>
      <c r="U58" s="958"/>
      <c r="V58" s="958"/>
      <c r="X58" s="957"/>
      <c r="Y58" s="958"/>
    </row>
    <row r="59" spans="1:25" s="893" customFormat="1" ht="11.25" customHeight="1">
      <c r="A59" s="932"/>
      <c r="B59" s="934">
        <v>45630</v>
      </c>
      <c r="C59" s="934"/>
      <c r="D59" s="893" t="s">
        <v>203</v>
      </c>
      <c r="E59" s="932" t="s">
        <v>758</v>
      </c>
      <c r="F59" s="932" t="s">
        <v>152</v>
      </c>
      <c r="G59" s="936" t="s">
        <v>1621</v>
      </c>
      <c r="H59" s="936" t="s">
        <v>1621</v>
      </c>
      <c r="I59" s="936" t="s">
        <v>1621</v>
      </c>
      <c r="J59" s="943">
        <v>45107</v>
      </c>
      <c r="K59" s="935" t="s">
        <v>1621</v>
      </c>
      <c r="L59" s="971">
        <v>55</v>
      </c>
      <c r="M59" s="938" t="s">
        <v>1290</v>
      </c>
      <c r="N59" s="968"/>
      <c r="O59" s="936"/>
      <c r="P59" s="936"/>
      <c r="Q59" s="936"/>
      <c r="R59" s="943"/>
      <c r="S59" s="935"/>
      <c r="T59" s="971"/>
      <c r="U59" s="958"/>
      <c r="V59" s="958"/>
      <c r="X59" s="957"/>
      <c r="Y59" s="958"/>
    </row>
    <row r="60" spans="1:25" s="893" customFormat="1" ht="11.25" customHeight="1">
      <c r="A60" s="932"/>
      <c r="B60" s="934">
        <v>45638</v>
      </c>
      <c r="C60" s="934"/>
      <c r="D60" s="893" t="s">
        <v>218</v>
      </c>
      <c r="E60" s="932" t="s">
        <v>760</v>
      </c>
      <c r="F60" s="932" t="s">
        <v>219</v>
      </c>
      <c r="G60" s="936" t="s">
        <v>1621</v>
      </c>
      <c r="H60" s="936" t="s">
        <v>1621</v>
      </c>
      <c r="I60" s="936" t="s">
        <v>1621</v>
      </c>
      <c r="J60" s="943">
        <v>46022</v>
      </c>
      <c r="K60" s="935" t="s">
        <v>1621</v>
      </c>
      <c r="L60" s="971">
        <v>354</v>
      </c>
      <c r="M60" s="938" t="s">
        <v>1639</v>
      </c>
      <c r="N60" s="968"/>
      <c r="O60" s="936"/>
      <c r="P60" s="936"/>
      <c r="Q60" s="936"/>
      <c r="R60" s="943"/>
      <c r="S60" s="935"/>
      <c r="T60" s="971"/>
      <c r="U60" s="958"/>
      <c r="V60" s="958"/>
      <c r="X60" s="957"/>
      <c r="Y60" s="958"/>
    </row>
    <row r="61" spans="1:25" s="1385" customFormat="1" ht="11.25" customHeight="1">
      <c r="B61" s="1387">
        <v>45639</v>
      </c>
      <c r="C61" s="1387"/>
      <c r="D61" s="1385" t="s">
        <v>192</v>
      </c>
      <c r="E61" s="1385" t="s">
        <v>756</v>
      </c>
      <c r="F61" s="1385" t="s">
        <v>155</v>
      </c>
      <c r="G61" s="1389">
        <v>5.58</v>
      </c>
      <c r="H61" s="1389" t="s">
        <v>1621</v>
      </c>
      <c r="I61" s="1389">
        <v>37.85</v>
      </c>
      <c r="J61" s="1390">
        <v>46022</v>
      </c>
      <c r="K61" s="1388" t="s">
        <v>47</v>
      </c>
      <c r="L61" s="1398">
        <v>82.741123000000002</v>
      </c>
      <c r="M61" s="1391" t="s">
        <v>1720</v>
      </c>
      <c r="N61" s="1395"/>
      <c r="O61" s="1389"/>
      <c r="P61" s="1389"/>
      <c r="Q61" s="1389"/>
      <c r="R61" s="1390"/>
      <c r="S61" s="1388"/>
      <c r="T61" s="1398"/>
      <c r="U61" s="1399"/>
      <c r="V61" s="1399"/>
      <c r="X61" s="1401"/>
      <c r="Y61" s="1399"/>
    </row>
    <row r="62" spans="1:25" s="893" customFormat="1" ht="11.25" customHeight="1">
      <c r="A62" s="932"/>
      <c r="B62" s="934">
        <v>45645</v>
      </c>
      <c r="C62" s="934"/>
      <c r="D62" s="893" t="s">
        <v>1629</v>
      </c>
      <c r="E62" s="932" t="s">
        <v>1630</v>
      </c>
      <c r="F62" s="932" t="s">
        <v>223</v>
      </c>
      <c r="G62" s="936">
        <v>7.4</v>
      </c>
      <c r="H62" s="936">
        <v>9.5</v>
      </c>
      <c r="I62" s="936">
        <v>50</v>
      </c>
      <c r="J62" s="943">
        <v>46022</v>
      </c>
      <c r="K62" s="935" t="s">
        <v>1620</v>
      </c>
      <c r="L62" s="971">
        <v>139.65299999999999</v>
      </c>
      <c r="M62" s="938" t="s">
        <v>1518</v>
      </c>
      <c r="N62" s="968"/>
      <c r="O62" s="936"/>
      <c r="P62" s="936"/>
      <c r="Q62" s="936"/>
      <c r="R62" s="943"/>
      <c r="S62" s="935"/>
      <c r="T62" s="971"/>
      <c r="U62" s="958"/>
      <c r="V62" s="958"/>
      <c r="X62" s="957"/>
      <c r="Y62" s="958"/>
    </row>
    <row r="63" spans="1:25" s="893" customFormat="1" ht="11.25" customHeight="1">
      <c r="A63" s="932"/>
      <c r="B63" s="934">
        <v>45645</v>
      </c>
      <c r="C63" s="934"/>
      <c r="D63" s="893" t="s">
        <v>227</v>
      </c>
      <c r="E63" s="932" t="s">
        <v>1097</v>
      </c>
      <c r="F63" s="932" t="s">
        <v>228</v>
      </c>
      <c r="G63" s="936" t="s">
        <v>1621</v>
      </c>
      <c r="H63" s="936" t="s">
        <v>1621</v>
      </c>
      <c r="I63" s="936" t="s">
        <v>1621</v>
      </c>
      <c r="J63" s="943">
        <v>45657</v>
      </c>
      <c r="K63" s="935" t="s">
        <v>47</v>
      </c>
      <c r="L63" s="971">
        <v>177.49600000000001</v>
      </c>
      <c r="M63" s="938" t="s">
        <v>1624</v>
      </c>
      <c r="N63" s="968"/>
      <c r="O63" s="936"/>
      <c r="P63" s="936"/>
      <c r="Q63" s="936"/>
      <c r="R63" s="943"/>
      <c r="S63" s="935"/>
      <c r="T63" s="971"/>
      <c r="U63" s="958"/>
      <c r="V63" s="958"/>
      <c r="X63" s="957"/>
      <c r="Y63" s="958"/>
    </row>
    <row r="64" spans="1:25" s="893" customFormat="1" ht="11.25" customHeight="1">
      <c r="A64" s="932"/>
      <c r="B64" s="934">
        <v>45645</v>
      </c>
      <c r="C64" s="934"/>
      <c r="D64" s="893" t="s">
        <v>230</v>
      </c>
      <c r="E64" s="932" t="s">
        <v>1183</v>
      </c>
      <c r="F64" s="932" t="s">
        <v>147</v>
      </c>
      <c r="G64" s="936">
        <v>8.92</v>
      </c>
      <c r="H64" s="936">
        <v>9.8000000000000007</v>
      </c>
      <c r="I64" s="936">
        <v>56.54</v>
      </c>
      <c r="J64" s="943">
        <v>46387</v>
      </c>
      <c r="K64" s="935" t="s">
        <v>47</v>
      </c>
      <c r="L64" s="971">
        <v>313.50700000000001</v>
      </c>
      <c r="M64" s="938" t="s">
        <v>1624</v>
      </c>
      <c r="N64" s="968"/>
      <c r="O64" s="936"/>
      <c r="P64" s="936"/>
      <c r="Q64" s="936"/>
      <c r="R64" s="943"/>
      <c r="S64" s="935"/>
      <c r="T64" s="971"/>
      <c r="U64" s="958"/>
      <c r="V64" s="958"/>
      <c r="X64" s="957"/>
      <c r="Y64" s="958"/>
    </row>
    <row r="65" spans="1:26" s="893" customFormat="1" ht="11.25" customHeight="1">
      <c r="A65" s="932"/>
      <c r="B65" s="934">
        <v>45645</v>
      </c>
      <c r="C65" s="934"/>
      <c r="D65" s="893" t="s">
        <v>231</v>
      </c>
      <c r="E65" s="932" t="s">
        <v>1183</v>
      </c>
      <c r="F65" s="932" t="s">
        <v>147</v>
      </c>
      <c r="G65" s="936">
        <v>8.02</v>
      </c>
      <c r="H65" s="936">
        <v>9.8000000000000007</v>
      </c>
      <c r="I65" s="936">
        <v>54.17</v>
      </c>
      <c r="J65" s="943">
        <v>46387</v>
      </c>
      <c r="K65" s="935" t="s">
        <v>47</v>
      </c>
      <c r="L65" s="971">
        <v>85.094999999999999</v>
      </c>
      <c r="M65" s="938" t="s">
        <v>1624</v>
      </c>
      <c r="N65" s="968"/>
      <c r="O65" s="936"/>
      <c r="P65" s="936"/>
      <c r="Q65" s="936"/>
      <c r="R65" s="943"/>
      <c r="S65" s="935"/>
      <c r="T65" s="971"/>
      <c r="U65" s="958"/>
      <c r="V65" s="958"/>
      <c r="X65" s="957"/>
      <c r="Y65" s="958"/>
    </row>
    <row r="66" spans="1:26" s="893" customFormat="1" ht="11.25" customHeight="1">
      <c r="A66" s="932"/>
      <c r="B66" s="934">
        <v>45646</v>
      </c>
      <c r="C66" s="934"/>
      <c r="D66" s="893" t="s">
        <v>31</v>
      </c>
      <c r="E66" s="932" t="s">
        <v>1262</v>
      </c>
      <c r="F66" s="932" t="s">
        <v>1565</v>
      </c>
      <c r="G66" s="936">
        <v>7.32</v>
      </c>
      <c r="H66" s="936">
        <v>9.8000000000000007</v>
      </c>
      <c r="I66" s="936">
        <v>48.5</v>
      </c>
      <c r="J66" s="943">
        <v>45107</v>
      </c>
      <c r="K66" s="935" t="s">
        <v>47</v>
      </c>
      <c r="L66" s="971">
        <v>80.734999999999999</v>
      </c>
      <c r="M66" s="938" t="s">
        <v>1624</v>
      </c>
      <c r="N66" s="968"/>
      <c r="O66" s="936"/>
      <c r="P66" s="936"/>
      <c r="Q66" s="936"/>
      <c r="R66" s="943"/>
      <c r="S66" s="935"/>
      <c r="T66" s="971"/>
      <c r="U66" s="958"/>
      <c r="V66" s="958"/>
      <c r="X66" s="957"/>
      <c r="Y66" s="958"/>
    </row>
    <row r="67" spans="1:26" s="893" customFormat="1" ht="11.25" customHeight="1">
      <c r="A67" s="932"/>
      <c r="B67" s="934">
        <v>45646</v>
      </c>
      <c r="C67" s="934"/>
      <c r="D67" s="893" t="s">
        <v>1406</v>
      </c>
      <c r="E67" s="932" t="s">
        <v>1277</v>
      </c>
      <c r="F67" s="932" t="s">
        <v>223</v>
      </c>
      <c r="G67" s="936">
        <v>6.99</v>
      </c>
      <c r="H67" s="936">
        <v>9.34</v>
      </c>
      <c r="I67" s="936">
        <v>50</v>
      </c>
      <c r="J67" s="943">
        <v>46022</v>
      </c>
      <c r="K67" s="935" t="s">
        <v>1620</v>
      </c>
      <c r="L67" s="971">
        <v>100</v>
      </c>
      <c r="M67" s="938" t="s">
        <v>1518</v>
      </c>
      <c r="N67" s="968"/>
      <c r="O67" s="936"/>
      <c r="P67" s="936"/>
      <c r="Q67" s="936"/>
      <c r="R67" s="943"/>
      <c r="S67" s="935"/>
      <c r="T67" s="971"/>
      <c r="U67" s="958"/>
      <c r="V67" s="958"/>
      <c r="X67" s="957"/>
      <c r="Y67" s="958"/>
    </row>
    <row r="68" spans="1:26" s="893" customFormat="1" ht="11.25" customHeight="1">
      <c r="A68" s="932"/>
      <c r="B68" s="934">
        <v>45649</v>
      </c>
      <c r="C68" s="934"/>
      <c r="D68" s="893" t="s">
        <v>207</v>
      </c>
      <c r="E68" s="932" t="s">
        <v>750</v>
      </c>
      <c r="F68" s="932" t="s">
        <v>208</v>
      </c>
      <c r="G68" s="936" t="s">
        <v>1621</v>
      </c>
      <c r="H68" s="936" t="s">
        <v>1621</v>
      </c>
      <c r="I68" s="936" t="s">
        <v>1621</v>
      </c>
      <c r="J68" s="943" t="s">
        <v>1621</v>
      </c>
      <c r="K68" s="935" t="s">
        <v>1621</v>
      </c>
      <c r="L68" s="971">
        <v>55.890094000000005</v>
      </c>
      <c r="M68" s="938" t="s">
        <v>1721</v>
      </c>
      <c r="N68" s="968"/>
      <c r="O68" s="936"/>
      <c r="P68" s="936"/>
      <c r="Q68" s="936"/>
      <c r="R68" s="943"/>
      <c r="S68" s="935"/>
      <c r="T68" s="971"/>
      <c r="U68" s="958"/>
      <c r="V68" s="958"/>
      <c r="X68" s="957"/>
      <c r="Y68" s="958"/>
    </row>
    <row r="69" spans="1:26" s="893" customFormat="1" ht="11.25" customHeight="1">
      <c r="A69" s="932"/>
      <c r="B69" s="934">
        <v>45656</v>
      </c>
      <c r="C69" s="934"/>
      <c r="D69" s="893" t="s">
        <v>1390</v>
      </c>
      <c r="E69" s="932" t="s">
        <v>1274</v>
      </c>
      <c r="F69" s="932" t="s">
        <v>236</v>
      </c>
      <c r="G69" s="936">
        <v>7.53</v>
      </c>
      <c r="H69" s="936">
        <v>10.1</v>
      </c>
      <c r="I69" s="936">
        <v>53.5</v>
      </c>
      <c r="J69" s="943">
        <v>45657</v>
      </c>
      <c r="K69" s="935" t="s">
        <v>47</v>
      </c>
      <c r="L69" s="971">
        <v>36.444215999999997</v>
      </c>
      <c r="M69" s="938" t="s">
        <v>1622</v>
      </c>
      <c r="N69" s="968"/>
      <c r="O69" s="936"/>
      <c r="P69" s="936"/>
      <c r="Q69" s="936"/>
      <c r="R69" s="943"/>
      <c r="S69" s="935"/>
      <c r="T69" s="971"/>
      <c r="U69" s="958"/>
      <c r="V69" s="958"/>
      <c r="X69" s="957"/>
      <c r="Y69" s="958"/>
    </row>
    <row r="70" spans="1:26" s="893" customFormat="1" ht="11.25" customHeight="1">
      <c r="A70" s="932"/>
      <c r="B70" s="932"/>
      <c r="C70" s="948"/>
      <c r="D70" s="964" t="s">
        <v>1722</v>
      </c>
      <c r="E70" s="949"/>
      <c r="F70" s="950"/>
      <c r="G70" s="965">
        <v>7.29</v>
      </c>
      <c r="H70" s="950">
        <v>9.84</v>
      </c>
      <c r="I70" s="965">
        <v>50.39</v>
      </c>
      <c r="J70" s="950"/>
      <c r="K70" s="952"/>
      <c r="L70" s="977">
        <v>2598.443088</v>
      </c>
      <c r="M70" s="967"/>
      <c r="N70" s="968"/>
      <c r="O70" s="969"/>
      <c r="P70" s="969"/>
      <c r="Q70" s="969"/>
      <c r="R70" s="958"/>
      <c r="S70" s="963"/>
      <c r="T70" s="957"/>
      <c r="U70" s="958"/>
      <c r="V70" s="958"/>
      <c r="X70" s="957"/>
      <c r="Y70" s="958"/>
    </row>
    <row r="71" spans="1:26" s="893" customFormat="1" ht="11.25" customHeight="1">
      <c r="A71" s="932"/>
      <c r="B71" s="932"/>
      <c r="C71" s="948"/>
      <c r="D71" s="964" t="s">
        <v>324</v>
      </c>
      <c r="E71" s="932"/>
      <c r="F71" s="950"/>
      <c r="G71" s="970">
        <v>17</v>
      </c>
      <c r="H71" s="950">
        <v>18</v>
      </c>
      <c r="I71" s="970">
        <v>14</v>
      </c>
      <c r="J71" s="950"/>
      <c r="K71" s="952"/>
      <c r="L71" s="950">
        <v>32</v>
      </c>
      <c r="M71" s="967"/>
      <c r="N71" s="968"/>
      <c r="O71" s="968"/>
      <c r="P71" s="975"/>
      <c r="Q71" s="958"/>
      <c r="R71" s="958"/>
      <c r="S71" s="963"/>
      <c r="T71" s="957"/>
      <c r="U71" s="958"/>
      <c r="V71" s="958"/>
      <c r="X71" s="957"/>
      <c r="Y71" s="958"/>
    </row>
    <row r="72" spans="1:26" s="893" customFormat="1" ht="11.25" customHeight="1">
      <c r="A72" s="932"/>
      <c r="B72" s="978" t="s">
        <v>1723</v>
      </c>
      <c r="C72" s="948"/>
      <c r="D72" s="964" t="s">
        <v>1724</v>
      </c>
      <c r="E72" s="949"/>
      <c r="F72" s="979"/>
      <c r="G72" s="980">
        <v>7.07</v>
      </c>
      <c r="H72" s="980">
        <v>9.74</v>
      </c>
      <c r="I72" s="965">
        <v>49.84</v>
      </c>
      <c r="J72" s="981"/>
      <c r="K72" s="965"/>
      <c r="L72" s="977">
        <v>6087.5822859999989</v>
      </c>
      <c r="M72" s="967"/>
      <c r="N72" s="968"/>
      <c r="O72" s="968"/>
      <c r="P72" s="975"/>
      <c r="Q72" s="958"/>
      <c r="R72" s="958"/>
      <c r="S72" s="963"/>
      <c r="T72" s="957"/>
      <c r="U72" s="958"/>
      <c r="V72" s="958"/>
      <c r="X72" s="957"/>
      <c r="Y72" s="958"/>
    </row>
    <row r="73" spans="1:26" s="893" customFormat="1" ht="11.25" customHeight="1">
      <c r="A73" s="932"/>
      <c r="B73" s="978"/>
      <c r="C73" s="948"/>
      <c r="D73" s="979" t="s">
        <v>324</v>
      </c>
      <c r="E73" s="982"/>
      <c r="F73" s="983"/>
      <c r="G73" s="984">
        <v>55</v>
      </c>
      <c r="H73" s="981">
        <v>55</v>
      </c>
      <c r="I73" s="981">
        <v>48</v>
      </c>
      <c r="J73" s="981"/>
      <c r="K73" s="981"/>
      <c r="L73" s="981">
        <v>77</v>
      </c>
      <c r="M73" s="955"/>
      <c r="N73" s="898"/>
      <c r="O73" s="898"/>
      <c r="P73" s="899"/>
      <c r="Q73" s="958"/>
      <c r="R73" s="958"/>
      <c r="S73" s="963"/>
      <c r="T73" s="957"/>
      <c r="U73" s="958"/>
      <c r="V73" s="958"/>
      <c r="Y73" s="897"/>
    </row>
    <row r="74" spans="1:26" s="893" customFormat="1" ht="11.25" customHeight="1">
      <c r="A74" s="932"/>
      <c r="B74" s="985"/>
      <c r="C74" s="985"/>
      <c r="D74" s="985"/>
      <c r="E74" s="985"/>
      <c r="F74" s="985"/>
      <c r="G74" s="961"/>
      <c r="H74" s="961"/>
      <c r="I74" s="950"/>
      <c r="J74" s="965"/>
      <c r="K74" s="962"/>
      <c r="L74" s="970"/>
      <c r="M74" s="955"/>
      <c r="N74" s="898"/>
      <c r="O74" s="898"/>
      <c r="P74" s="899"/>
      <c r="Q74" s="958"/>
      <c r="R74" s="958"/>
      <c r="S74" s="963"/>
      <c r="T74" s="957"/>
      <c r="U74" s="958"/>
      <c r="V74" s="958"/>
      <c r="Y74" s="897"/>
    </row>
    <row r="75" spans="1:26" s="902" customFormat="1" ht="13">
      <c r="B75" s="903" t="s">
        <v>1651</v>
      </c>
      <c r="C75" s="904"/>
      <c r="D75" s="905"/>
      <c r="E75" s="906"/>
      <c r="F75" s="907"/>
      <c r="G75" s="908"/>
      <c r="H75" s="908"/>
      <c r="I75" s="909"/>
      <c r="J75" s="910"/>
      <c r="K75" s="911"/>
      <c r="L75" s="912"/>
      <c r="M75" s="913"/>
      <c r="N75" s="914"/>
      <c r="O75" s="914"/>
      <c r="P75" s="915"/>
      <c r="Q75" s="916"/>
      <c r="R75" s="916"/>
      <c r="S75" s="917"/>
      <c r="T75" s="916"/>
      <c r="U75" s="916"/>
      <c r="V75" s="916"/>
      <c r="W75" s="918"/>
      <c r="X75" s="918"/>
      <c r="Y75" s="918"/>
      <c r="Z75" s="918"/>
    </row>
    <row r="76" spans="1:26" s="919" customFormat="1" ht="31.5">
      <c r="B76" s="920" t="s">
        <v>514</v>
      </c>
      <c r="C76" s="921"/>
      <c r="D76" s="922" t="s">
        <v>78</v>
      </c>
      <c r="E76" s="922" t="s">
        <v>526</v>
      </c>
      <c r="F76" s="922" t="s">
        <v>141</v>
      </c>
      <c r="G76" s="923" t="s">
        <v>1612</v>
      </c>
      <c r="H76" s="923" t="s">
        <v>1613</v>
      </c>
      <c r="I76" s="924" t="s">
        <v>1683</v>
      </c>
      <c r="J76" s="986" t="s">
        <v>1653</v>
      </c>
      <c r="K76" s="925" t="s">
        <v>1616</v>
      </c>
      <c r="L76" s="925" t="s">
        <v>1617</v>
      </c>
      <c r="M76" s="926" t="s">
        <v>1618</v>
      </c>
      <c r="N76" s="927"/>
      <c r="O76" s="927"/>
      <c r="P76" s="928"/>
      <c r="Q76" s="929"/>
      <c r="R76" s="929"/>
      <c r="S76" s="930"/>
      <c r="T76" s="929"/>
      <c r="U76" s="929"/>
      <c r="V76" s="929"/>
      <c r="W76" s="931"/>
      <c r="X76" s="931"/>
      <c r="Y76" s="931"/>
      <c r="Z76" s="931"/>
    </row>
    <row r="77" spans="1:26" s="893" customFormat="1" ht="14.5">
      <c r="B77" s="934">
        <v>45308</v>
      </c>
      <c r="C77" s="934"/>
      <c r="D77" s="932" t="s">
        <v>1725</v>
      </c>
      <c r="E77" s="932" t="s">
        <v>1264</v>
      </c>
      <c r="F77" s="932" t="s">
        <v>1199</v>
      </c>
      <c r="G77" s="935">
        <v>7.33</v>
      </c>
      <c r="H77" s="936">
        <v>9.85</v>
      </c>
      <c r="I77" s="936">
        <v>51</v>
      </c>
      <c r="J77" s="943">
        <v>44926</v>
      </c>
      <c r="K77" s="935" t="s">
        <v>1620</v>
      </c>
      <c r="L77" s="938">
        <v>15.142668</v>
      </c>
      <c r="M77" s="938" t="s">
        <v>1290</v>
      </c>
      <c r="N77" s="898"/>
      <c r="O77" s="898"/>
      <c r="P77" s="899"/>
      <c r="Q77" s="942"/>
      <c r="R77" s="935"/>
      <c r="S77" s="936"/>
      <c r="T77" s="987"/>
      <c r="U77" s="988"/>
      <c r="V77" s="957"/>
      <c r="Y77" s="897"/>
    </row>
    <row r="78" spans="1:26" s="893" customFormat="1" ht="11.25" customHeight="1">
      <c r="A78" s="932"/>
      <c r="B78" s="934">
        <v>45322</v>
      </c>
      <c r="C78" s="934"/>
      <c r="D78" s="932" t="s">
        <v>1726</v>
      </c>
      <c r="E78" s="932" t="s">
        <v>1727</v>
      </c>
      <c r="F78" s="932" t="s">
        <v>169</v>
      </c>
      <c r="G78" s="935">
        <v>7.42</v>
      </c>
      <c r="H78" s="936">
        <v>9.6999999999999993</v>
      </c>
      <c r="I78" s="936">
        <v>59.07</v>
      </c>
      <c r="J78" s="937">
        <v>44926</v>
      </c>
      <c r="K78" s="935" t="s">
        <v>1620</v>
      </c>
      <c r="L78" s="938">
        <v>5.875</v>
      </c>
      <c r="M78" s="942" t="s">
        <v>1290</v>
      </c>
      <c r="N78" s="898"/>
      <c r="O78" s="898"/>
      <c r="P78" s="899"/>
      <c r="Q78" s="942"/>
      <c r="R78" s="935"/>
      <c r="S78" s="936"/>
      <c r="T78" s="987"/>
      <c r="U78" s="988"/>
      <c r="V78" s="939"/>
      <c r="W78" s="939"/>
      <c r="Y78" s="897"/>
    </row>
    <row r="79" spans="1:26" s="893" customFormat="1" ht="11.25" customHeight="1">
      <c r="A79" s="932"/>
      <c r="B79" s="934">
        <v>45375</v>
      </c>
      <c r="C79" s="934"/>
      <c r="D79" s="932" t="s">
        <v>1728</v>
      </c>
      <c r="E79" s="932" t="s">
        <v>1264</v>
      </c>
      <c r="F79" s="932" t="s">
        <v>233</v>
      </c>
      <c r="G79" s="936">
        <v>6.9</v>
      </c>
      <c r="H79" s="936">
        <v>9.3000000000000007</v>
      </c>
      <c r="I79" s="936">
        <v>50.87</v>
      </c>
      <c r="J79" s="943">
        <v>44926</v>
      </c>
      <c r="K79" s="935" t="s">
        <v>47</v>
      </c>
      <c r="L79" s="938">
        <v>20.170934000000003</v>
      </c>
      <c r="M79" s="938" t="s">
        <v>1290</v>
      </c>
      <c r="N79" s="932"/>
      <c r="O79" s="932"/>
      <c r="P79" s="989"/>
      <c r="Q79" s="942"/>
      <c r="R79" s="935"/>
      <c r="S79" s="936"/>
      <c r="T79" s="987"/>
      <c r="U79" s="988"/>
      <c r="V79" s="939"/>
      <c r="W79" s="939"/>
      <c r="Y79" s="897"/>
    </row>
    <row r="80" spans="1:26" s="893" customFormat="1" ht="11.25" customHeight="1">
      <c r="A80" s="932"/>
      <c r="B80" s="934">
        <v>45380</v>
      </c>
      <c r="C80" s="934"/>
      <c r="D80" s="932" t="s">
        <v>1729</v>
      </c>
      <c r="E80" s="932" t="s">
        <v>1630</v>
      </c>
      <c r="F80" s="932" t="s">
        <v>145</v>
      </c>
      <c r="G80" s="935">
        <v>7.11</v>
      </c>
      <c r="H80" s="936" t="s">
        <v>1621</v>
      </c>
      <c r="I80" s="936">
        <v>51.5</v>
      </c>
      <c r="J80" s="937">
        <v>44926</v>
      </c>
      <c r="K80" s="935" t="s">
        <v>47</v>
      </c>
      <c r="L80" s="938">
        <v>29.644821</v>
      </c>
      <c r="M80" s="938" t="s">
        <v>1290</v>
      </c>
      <c r="N80" s="898"/>
      <c r="O80" s="898"/>
      <c r="P80" s="899"/>
      <c r="Q80" s="942"/>
      <c r="R80" s="935"/>
      <c r="S80" s="936"/>
      <c r="T80" s="987"/>
      <c r="U80" s="988"/>
      <c r="V80" s="939"/>
      <c r="W80" s="939"/>
      <c r="Y80" s="897"/>
    </row>
    <row r="81" spans="1:28" s="893" customFormat="1" ht="11.25" customHeight="1">
      <c r="A81" s="946"/>
      <c r="B81" s="990"/>
      <c r="C81" s="991"/>
      <c r="D81" s="964" t="s">
        <v>1730</v>
      </c>
      <c r="E81" s="949"/>
      <c r="F81" s="979"/>
      <c r="G81" s="992">
        <v>7.19</v>
      </c>
      <c r="H81" s="993">
        <v>9.6199999999999992</v>
      </c>
      <c r="I81" s="993">
        <v>53.11</v>
      </c>
      <c r="J81" s="994"/>
      <c r="K81" s="993"/>
      <c r="L81" s="995">
        <v>96.420851999999996</v>
      </c>
      <c r="M81" s="967"/>
      <c r="N81" s="968"/>
      <c r="O81" s="968"/>
      <c r="P81" s="975"/>
      <c r="Q81" s="942"/>
      <c r="R81" s="996"/>
      <c r="S81" s="996"/>
      <c r="T81" s="939"/>
      <c r="U81" s="945"/>
      <c r="V81" s="945"/>
      <c r="Y81" s="996"/>
      <c r="Z81" s="959"/>
      <c r="AA81" s="959"/>
      <c r="AB81" s="939"/>
    </row>
    <row r="82" spans="1:28" s="893" customFormat="1" ht="11.25" customHeight="1">
      <c r="A82" s="932"/>
      <c r="B82" s="991"/>
      <c r="C82" s="991"/>
      <c r="D82" s="949" t="s">
        <v>324</v>
      </c>
      <c r="E82" s="949"/>
      <c r="F82" s="979"/>
      <c r="G82" s="997">
        <v>4</v>
      </c>
      <c r="H82" s="998">
        <v>3</v>
      </c>
      <c r="I82" s="998">
        <v>4</v>
      </c>
      <c r="J82" s="999"/>
      <c r="K82" s="1000"/>
      <c r="L82" s="998">
        <v>8</v>
      </c>
      <c r="M82" s="972"/>
      <c r="N82" s="898"/>
      <c r="O82" s="898"/>
      <c r="P82" s="899"/>
      <c r="Q82" s="942"/>
      <c r="R82" s="899"/>
      <c r="S82" s="899"/>
      <c r="T82" s="940"/>
      <c r="U82" s="899"/>
      <c r="V82" s="899"/>
      <c r="Y82" s="897"/>
    </row>
    <row r="83" spans="1:28" s="893" customFormat="1" ht="11.25" customHeight="1">
      <c r="A83" s="932"/>
      <c r="B83" s="934">
        <v>45390</v>
      </c>
      <c r="C83" s="934"/>
      <c r="D83" s="932" t="s">
        <v>1731</v>
      </c>
      <c r="E83" s="932" t="s">
        <v>1518</v>
      </c>
      <c r="F83" s="893" t="s">
        <v>1564</v>
      </c>
      <c r="G83" s="896">
        <v>7.74</v>
      </c>
      <c r="H83" s="936">
        <v>11.88</v>
      </c>
      <c r="I83" s="936">
        <v>54.11</v>
      </c>
      <c r="J83" s="943">
        <v>44561</v>
      </c>
      <c r="K83" s="935" t="s">
        <v>47</v>
      </c>
      <c r="L83" s="938">
        <v>1.3445209999999999</v>
      </c>
      <c r="M83" s="938" t="s">
        <v>1636</v>
      </c>
      <c r="N83" s="898"/>
      <c r="O83" s="898"/>
      <c r="P83" s="899"/>
      <c r="Q83" s="899"/>
      <c r="R83" s="899"/>
      <c r="S83" s="899"/>
      <c r="T83" s="940"/>
      <c r="U83" s="899"/>
      <c r="V83" s="899"/>
      <c r="Y83" s="897"/>
    </row>
    <row r="84" spans="1:28" s="893" customFormat="1" ht="11.25" customHeight="1">
      <c r="A84" s="932"/>
      <c r="B84" s="934">
        <v>45390</v>
      </c>
      <c r="C84" s="934"/>
      <c r="D84" s="932" t="s">
        <v>1732</v>
      </c>
      <c r="E84" s="932" t="s">
        <v>1662</v>
      </c>
      <c r="F84" s="893" t="s">
        <v>1704</v>
      </c>
      <c r="G84" s="896">
        <v>7.01</v>
      </c>
      <c r="H84" s="936">
        <v>9.5</v>
      </c>
      <c r="I84" s="936">
        <v>50</v>
      </c>
      <c r="J84" s="943">
        <v>45077</v>
      </c>
      <c r="K84" s="935" t="s">
        <v>1620</v>
      </c>
      <c r="L84" s="938">
        <v>8.6999999999999993</v>
      </c>
      <c r="M84" s="938" t="s">
        <v>1290</v>
      </c>
      <c r="N84" s="898"/>
      <c r="O84" s="898"/>
      <c r="P84" s="899"/>
      <c r="Q84" s="899"/>
      <c r="R84" s="899"/>
      <c r="S84" s="899"/>
      <c r="T84" s="940"/>
      <c r="U84" s="899"/>
      <c r="V84" s="899"/>
      <c r="Y84" s="897"/>
    </row>
    <row r="85" spans="1:28" s="893" customFormat="1" ht="11.25" customHeight="1">
      <c r="A85" s="932"/>
      <c r="B85" s="934">
        <v>45390</v>
      </c>
      <c r="C85" s="934"/>
      <c r="D85" s="932" t="s">
        <v>1733</v>
      </c>
      <c r="E85" s="932" t="s">
        <v>1662</v>
      </c>
      <c r="F85" s="893" t="s">
        <v>1704</v>
      </c>
      <c r="G85" s="941">
        <v>7</v>
      </c>
      <c r="H85" s="936">
        <v>9.5</v>
      </c>
      <c r="I85" s="936">
        <v>50</v>
      </c>
      <c r="J85" s="943">
        <v>45077</v>
      </c>
      <c r="K85" s="935" t="s">
        <v>1620</v>
      </c>
      <c r="L85" s="938">
        <v>50.4</v>
      </c>
      <c r="M85" s="938" t="s">
        <v>1290</v>
      </c>
      <c r="N85" s="898"/>
      <c r="O85" s="898"/>
      <c r="P85" s="899"/>
      <c r="Q85" s="942"/>
      <c r="R85" s="942"/>
      <c r="S85" s="899"/>
      <c r="T85" s="940"/>
      <c r="U85" s="899"/>
      <c r="V85" s="899"/>
      <c r="Y85" s="897"/>
    </row>
    <row r="86" spans="1:28" s="893" customFormat="1" ht="11.25" customHeight="1">
      <c r="A86" s="932"/>
      <c r="B86" s="934">
        <v>45399</v>
      </c>
      <c r="C86" s="934"/>
      <c r="D86" s="932" t="s">
        <v>1734</v>
      </c>
      <c r="E86" s="932" t="s">
        <v>1518</v>
      </c>
      <c r="F86" s="893" t="s">
        <v>163</v>
      </c>
      <c r="G86" s="896">
        <v>7.64</v>
      </c>
      <c r="H86" s="936">
        <v>9.75</v>
      </c>
      <c r="I86" s="936">
        <v>51.42</v>
      </c>
      <c r="J86" s="943">
        <v>45199</v>
      </c>
      <c r="K86" s="935" t="s">
        <v>1735</v>
      </c>
      <c r="L86" s="938">
        <v>2.395</v>
      </c>
      <c r="M86" s="938" t="s">
        <v>1290</v>
      </c>
      <c r="N86" s="898"/>
      <c r="O86" s="898"/>
      <c r="P86" s="899"/>
      <c r="Q86" s="942"/>
      <c r="R86" s="942"/>
      <c r="S86" s="899"/>
      <c r="T86" s="940"/>
      <c r="U86" s="899"/>
      <c r="V86" s="899"/>
      <c r="Y86" s="897"/>
    </row>
    <row r="87" spans="1:28" s="893" customFormat="1" ht="11.25" customHeight="1">
      <c r="A87" s="932"/>
      <c r="B87" s="934">
        <v>45469</v>
      </c>
      <c r="C87" s="934"/>
      <c r="D87" s="1001" t="s">
        <v>1736</v>
      </c>
      <c r="E87" s="1001" t="s">
        <v>664</v>
      </c>
      <c r="F87" s="1002" t="s">
        <v>169</v>
      </c>
      <c r="G87" s="1003">
        <v>7.82</v>
      </c>
      <c r="H87" s="1004">
        <v>9.8000000000000007</v>
      </c>
      <c r="I87" s="1004">
        <v>60.61</v>
      </c>
      <c r="J87" s="1005">
        <v>45107</v>
      </c>
      <c r="K87" s="1006" t="s">
        <v>1620</v>
      </c>
      <c r="L87" s="1007">
        <v>5</v>
      </c>
      <c r="M87" s="1007" t="s">
        <v>1290</v>
      </c>
      <c r="N87" s="898"/>
      <c r="O87" s="898"/>
      <c r="P87" s="899"/>
      <c r="Q87" s="942"/>
      <c r="R87" s="942"/>
      <c r="S87" s="899"/>
      <c r="T87" s="940"/>
      <c r="U87" s="899"/>
      <c r="V87" s="899"/>
      <c r="Y87" s="897"/>
    </row>
    <row r="88" spans="1:28" s="893" customFormat="1" ht="11.25" customHeight="1">
      <c r="A88" s="932"/>
      <c r="B88" s="1008">
        <v>45471</v>
      </c>
      <c r="C88" s="1008"/>
      <c r="D88" s="893" t="s">
        <v>1693</v>
      </c>
      <c r="E88" s="893" t="s">
        <v>1694</v>
      </c>
      <c r="F88" s="893" t="s">
        <v>208</v>
      </c>
      <c r="G88" s="896">
        <v>7.46</v>
      </c>
      <c r="H88" s="941">
        <v>9.4</v>
      </c>
      <c r="I88" s="941">
        <v>52.26</v>
      </c>
      <c r="J88" s="976">
        <v>44926</v>
      </c>
      <c r="K88" s="896" t="s">
        <v>1620</v>
      </c>
      <c r="L88" s="942">
        <v>9.1712720000000001</v>
      </c>
      <c r="M88" s="942" t="s">
        <v>1624</v>
      </c>
      <c r="N88" s="898"/>
      <c r="O88" s="898"/>
      <c r="P88" s="899"/>
      <c r="Q88" s="899"/>
      <c r="R88" s="899"/>
      <c r="S88" s="899"/>
      <c r="T88" s="940"/>
      <c r="U88" s="899"/>
      <c r="V88" s="899"/>
      <c r="Y88" s="897"/>
    </row>
    <row r="89" spans="1:28" s="893" customFormat="1" ht="11.25" customHeight="1">
      <c r="A89" s="932"/>
      <c r="B89" s="1009"/>
      <c r="C89" s="1010"/>
      <c r="D89" s="964" t="s">
        <v>1737</v>
      </c>
      <c r="E89" s="964"/>
      <c r="F89" s="979"/>
      <c r="G89" s="980">
        <v>7.48</v>
      </c>
      <c r="H89" s="980">
        <v>9.925714285714287</v>
      </c>
      <c r="I89" s="980">
        <v>52.99</v>
      </c>
      <c r="J89" s="1011"/>
      <c r="K89" s="980"/>
      <c r="L89" s="1012">
        <v>83.1</v>
      </c>
      <c r="M89" s="1013"/>
      <c r="N89" s="940"/>
      <c r="O89" s="940"/>
      <c r="P89" s="899"/>
      <c r="Q89" s="899"/>
      <c r="R89" s="899"/>
      <c r="S89" s="899"/>
      <c r="T89" s="940"/>
      <c r="U89" s="899"/>
      <c r="V89" s="899"/>
      <c r="Y89" s="897"/>
    </row>
    <row r="90" spans="1:28" s="893" customFormat="1" ht="11.25" customHeight="1">
      <c r="A90" s="932"/>
      <c r="B90" s="1009"/>
      <c r="C90" s="1010"/>
      <c r="D90" s="964" t="s">
        <v>324</v>
      </c>
      <c r="E90" s="964"/>
      <c r="F90" s="979"/>
      <c r="G90" s="946">
        <v>7</v>
      </c>
      <c r="H90" s="1011">
        <v>9.65</v>
      </c>
      <c r="I90" s="984">
        <v>7</v>
      </c>
      <c r="J90" s="946"/>
      <c r="K90" s="946"/>
      <c r="L90" s="946">
        <v>8</v>
      </c>
      <c r="P90" s="897"/>
      <c r="Q90" s="899"/>
      <c r="R90" s="899"/>
      <c r="S90" s="899"/>
      <c r="T90" s="940"/>
      <c r="U90" s="899"/>
      <c r="V90" s="899"/>
      <c r="Y90" s="897"/>
    </row>
    <row r="91" spans="1:28" s="893" customFormat="1" ht="11.25" customHeight="1">
      <c r="A91" s="932"/>
      <c r="B91" s="1008">
        <v>45491</v>
      </c>
      <c r="C91" s="1008"/>
      <c r="D91" s="893" t="s">
        <v>1697</v>
      </c>
      <c r="E91" s="893" t="s">
        <v>1265</v>
      </c>
      <c r="F91" s="893" t="s">
        <v>178</v>
      </c>
      <c r="G91" s="1014">
        <v>6.92</v>
      </c>
      <c r="H91" s="941">
        <v>9.5</v>
      </c>
      <c r="I91" s="941">
        <v>48</v>
      </c>
      <c r="J91" s="1015">
        <v>45838</v>
      </c>
      <c r="K91" s="896" t="s">
        <v>47</v>
      </c>
      <c r="L91" s="939">
        <v>27.306999999999999</v>
      </c>
      <c r="M91" s="942" t="s">
        <v>1518</v>
      </c>
      <c r="P91" s="897"/>
      <c r="Q91" s="899"/>
      <c r="R91" s="899"/>
      <c r="S91" s="899"/>
      <c r="T91" s="940"/>
      <c r="U91" s="899"/>
      <c r="V91" s="899"/>
      <c r="Y91" s="897"/>
    </row>
    <row r="92" spans="1:28" s="893" customFormat="1" ht="11.25" customHeight="1">
      <c r="A92" s="932"/>
      <c r="B92" s="1008">
        <v>45496</v>
      </c>
      <c r="C92" s="1008"/>
      <c r="D92" s="893" t="s">
        <v>175</v>
      </c>
      <c r="E92" s="893" t="s">
        <v>662</v>
      </c>
      <c r="F92" s="893" t="s">
        <v>161</v>
      </c>
      <c r="G92" s="1014" t="s">
        <v>1621</v>
      </c>
      <c r="H92" s="941">
        <v>9.9</v>
      </c>
      <c r="I92" s="941" t="s">
        <v>1621</v>
      </c>
      <c r="J92" s="1015">
        <v>45930</v>
      </c>
      <c r="K92" s="896" t="s">
        <v>47</v>
      </c>
      <c r="L92" s="939">
        <v>35</v>
      </c>
      <c r="M92" s="942" t="s">
        <v>1290</v>
      </c>
      <c r="P92" s="897"/>
      <c r="Q92" s="899"/>
      <c r="R92" s="899"/>
      <c r="S92" s="899"/>
      <c r="T92" s="940"/>
      <c r="U92" s="899"/>
      <c r="V92" s="899"/>
      <c r="Y92" s="897"/>
    </row>
    <row r="93" spans="1:28" s="893" customFormat="1" ht="11.25" customHeight="1">
      <c r="A93" s="932"/>
      <c r="B93" s="1008">
        <v>45498</v>
      </c>
      <c r="C93" s="1008"/>
      <c r="D93" s="893" t="s">
        <v>1738</v>
      </c>
      <c r="E93" s="893" t="s">
        <v>1719</v>
      </c>
      <c r="F93" s="893" t="s">
        <v>235</v>
      </c>
      <c r="G93" s="1014">
        <v>6.79</v>
      </c>
      <c r="H93" s="941">
        <v>9.3800000000000008</v>
      </c>
      <c r="I93" s="941">
        <v>52</v>
      </c>
      <c r="J93" s="1015">
        <v>45930</v>
      </c>
      <c r="K93" s="896" t="s">
        <v>47</v>
      </c>
      <c r="L93" s="939">
        <v>30</v>
      </c>
      <c r="M93" s="942" t="s">
        <v>1290</v>
      </c>
      <c r="P93" s="897"/>
      <c r="Q93" s="899"/>
      <c r="R93" s="899"/>
      <c r="S93" s="899"/>
      <c r="T93" s="940"/>
      <c r="U93" s="899"/>
      <c r="V93" s="899"/>
      <c r="Y93" s="897"/>
    </row>
    <row r="94" spans="1:28" s="893" customFormat="1" ht="11.25" customHeight="1">
      <c r="A94" s="932"/>
      <c r="B94" s="1008">
        <v>45502</v>
      </c>
      <c r="C94" s="1008"/>
      <c r="D94" s="893" t="s">
        <v>1659</v>
      </c>
      <c r="E94" s="893" t="s">
        <v>590</v>
      </c>
      <c r="F94" s="893" t="s">
        <v>167</v>
      </c>
      <c r="G94" s="1014">
        <v>7.64</v>
      </c>
      <c r="H94" s="941" t="s">
        <v>1621</v>
      </c>
      <c r="I94" s="941">
        <v>62.38</v>
      </c>
      <c r="J94" s="1015">
        <v>45199</v>
      </c>
      <c r="K94" s="896" t="s">
        <v>47</v>
      </c>
      <c r="L94" s="939">
        <v>19.415875</v>
      </c>
      <c r="M94" s="942" t="s">
        <v>1739</v>
      </c>
      <c r="P94" s="897"/>
      <c r="R94" s="899"/>
      <c r="S94" s="899"/>
      <c r="T94" s="940"/>
      <c r="U94" s="899"/>
      <c r="V94" s="899"/>
      <c r="Y94" s="897"/>
    </row>
    <row r="95" spans="1:28" s="893" customFormat="1" ht="11.25" customHeight="1">
      <c r="A95" s="932"/>
      <c r="B95" s="1008">
        <v>45504</v>
      </c>
      <c r="C95" s="1008"/>
      <c r="D95" s="893" t="s">
        <v>1647</v>
      </c>
      <c r="E95" s="893" t="s">
        <v>973</v>
      </c>
      <c r="F95" s="893" t="s">
        <v>157</v>
      </c>
      <c r="G95" s="1014">
        <v>6.98</v>
      </c>
      <c r="H95" s="941">
        <v>9.75</v>
      </c>
      <c r="I95" s="941">
        <v>52.39</v>
      </c>
      <c r="J95" s="1015">
        <v>45657</v>
      </c>
      <c r="K95" s="896" t="s">
        <v>1620</v>
      </c>
      <c r="L95" s="939">
        <v>120.94833800000001</v>
      </c>
      <c r="M95" s="942" t="s">
        <v>1627</v>
      </c>
      <c r="P95" s="897"/>
      <c r="Q95" s="899"/>
      <c r="R95" s="899"/>
      <c r="S95" s="899"/>
      <c r="T95" s="940"/>
      <c r="U95" s="899"/>
      <c r="V95" s="899"/>
      <c r="Y95" s="897"/>
    </row>
    <row r="96" spans="1:28" s="893" customFormat="1" ht="11.25" customHeight="1">
      <c r="A96" s="932"/>
      <c r="B96" s="1008">
        <v>45516</v>
      </c>
      <c r="C96" s="1008"/>
      <c r="D96" s="893" t="s">
        <v>1740</v>
      </c>
      <c r="E96" s="893" t="s">
        <v>1092</v>
      </c>
      <c r="F96" s="893" t="s">
        <v>167</v>
      </c>
      <c r="G96" s="896">
        <v>7.12</v>
      </c>
      <c r="H96" s="941" t="s">
        <v>1621</v>
      </c>
      <c r="I96" s="941">
        <v>49.23</v>
      </c>
      <c r="J96" s="1015">
        <v>45291</v>
      </c>
      <c r="K96" s="896" t="s">
        <v>47</v>
      </c>
      <c r="L96" s="939">
        <v>8.7777759999999994</v>
      </c>
      <c r="M96" s="942" t="s">
        <v>1290</v>
      </c>
      <c r="P96" s="897"/>
      <c r="Q96" s="1016"/>
      <c r="R96" s="899"/>
      <c r="S96" s="899"/>
      <c r="T96" s="940"/>
      <c r="U96" s="899"/>
      <c r="V96" s="899"/>
      <c r="Y96" s="897"/>
    </row>
    <row r="97" spans="1:46" s="893" customFormat="1" ht="11.25" customHeight="1">
      <c r="A97" s="932"/>
      <c r="B97" s="1008">
        <v>45517</v>
      </c>
      <c r="C97" s="1008"/>
      <c r="D97" s="893" t="s">
        <v>1699</v>
      </c>
      <c r="E97" s="893" t="s">
        <v>1658</v>
      </c>
      <c r="F97" s="893" t="s">
        <v>237</v>
      </c>
      <c r="G97" s="1014">
        <v>7.01</v>
      </c>
      <c r="H97" s="941" t="s">
        <v>1621</v>
      </c>
      <c r="I97" s="941" t="s">
        <v>1621</v>
      </c>
      <c r="J97" s="1015">
        <v>44926</v>
      </c>
      <c r="K97" s="896" t="s">
        <v>47</v>
      </c>
      <c r="L97" s="939">
        <v>5.3693330000000001</v>
      </c>
      <c r="M97" s="942" t="s">
        <v>1622</v>
      </c>
      <c r="P97" s="897"/>
      <c r="Q97" s="899"/>
      <c r="R97" s="899"/>
      <c r="S97" s="899"/>
      <c r="T97" s="940"/>
      <c r="U97" s="899"/>
      <c r="V97" s="899"/>
      <c r="Y97" s="897"/>
    </row>
    <row r="98" spans="1:46" s="893" customFormat="1" ht="11.25" customHeight="1">
      <c r="A98" s="932"/>
      <c r="B98" s="1008">
        <v>45519</v>
      </c>
      <c r="C98" s="1008"/>
      <c r="D98" s="893" t="s">
        <v>1741</v>
      </c>
      <c r="E98" s="893" t="s">
        <v>1707</v>
      </c>
      <c r="F98" s="893" t="s">
        <v>178</v>
      </c>
      <c r="G98" s="1014">
        <v>6.86</v>
      </c>
      <c r="H98" s="941">
        <v>9.35</v>
      </c>
      <c r="I98" s="941">
        <v>48</v>
      </c>
      <c r="J98" s="1015">
        <v>45747</v>
      </c>
      <c r="K98" s="896" t="s">
        <v>47</v>
      </c>
      <c r="L98" s="939">
        <v>246.46799999999999</v>
      </c>
      <c r="M98" s="942" t="s">
        <v>1627</v>
      </c>
      <c r="P98" s="897"/>
      <c r="Q98" s="899"/>
      <c r="R98" s="899"/>
      <c r="S98" s="899"/>
      <c r="T98" s="940"/>
      <c r="U98" s="899"/>
      <c r="V98" s="899"/>
      <c r="Y98" s="897"/>
    </row>
    <row r="99" spans="1:46" s="893" customFormat="1" ht="11.25" customHeight="1">
      <c r="A99" s="932"/>
      <c r="B99" s="1008">
        <v>45519</v>
      </c>
      <c r="C99" s="1008"/>
      <c r="D99" s="893" t="s">
        <v>1742</v>
      </c>
      <c r="E99" s="893" t="s">
        <v>1707</v>
      </c>
      <c r="F99" s="893" t="s">
        <v>178</v>
      </c>
      <c r="G99" s="1014">
        <v>6.94</v>
      </c>
      <c r="H99" s="941">
        <v>9.35</v>
      </c>
      <c r="I99" s="941">
        <v>48</v>
      </c>
      <c r="J99" s="1015">
        <v>45747</v>
      </c>
      <c r="K99" s="896" t="s">
        <v>47</v>
      </c>
      <c r="L99" s="939">
        <v>443.98399999999998</v>
      </c>
      <c r="M99" s="942" t="s">
        <v>1627</v>
      </c>
      <c r="P99" s="897"/>
      <c r="Q99" s="899"/>
      <c r="R99" s="899"/>
      <c r="S99" s="899"/>
      <c r="T99" s="940"/>
      <c r="U99" s="899"/>
      <c r="V99" s="899"/>
      <c r="Y99" s="897"/>
    </row>
    <row r="100" spans="1:46" s="893" customFormat="1" ht="11.25" customHeight="1">
      <c r="A100" s="932"/>
      <c r="B100" s="1008">
        <v>45531</v>
      </c>
      <c r="C100" s="1008"/>
      <c r="D100" s="893" t="s">
        <v>1743</v>
      </c>
      <c r="E100" s="893" t="s">
        <v>1727</v>
      </c>
      <c r="F100" s="893" t="s">
        <v>165</v>
      </c>
      <c r="G100" s="1014" t="s">
        <v>1621</v>
      </c>
      <c r="H100" s="941" t="s">
        <v>1621</v>
      </c>
      <c r="I100" s="941" t="s">
        <v>1621</v>
      </c>
      <c r="J100" s="1015">
        <v>45291</v>
      </c>
      <c r="K100" s="896" t="s">
        <v>1621</v>
      </c>
      <c r="L100" s="939">
        <v>31.423612000000002</v>
      </c>
      <c r="M100" s="942" t="s">
        <v>1744</v>
      </c>
      <c r="P100" s="897"/>
      <c r="Q100" s="939"/>
      <c r="R100" s="899"/>
      <c r="S100" s="899"/>
      <c r="T100" s="940"/>
      <c r="U100" s="899"/>
      <c r="V100" s="899"/>
      <c r="Y100" s="897"/>
    </row>
    <row r="101" spans="1:46" s="893" customFormat="1" ht="11.25" customHeight="1">
      <c r="A101" s="932"/>
      <c r="B101" s="1008">
        <v>45547</v>
      </c>
      <c r="C101" s="1008"/>
      <c r="D101" s="893" t="s">
        <v>1745</v>
      </c>
      <c r="E101" s="893" t="s">
        <v>1746</v>
      </c>
      <c r="F101" s="893" t="s">
        <v>219</v>
      </c>
      <c r="G101" s="1014" t="s">
        <v>1621</v>
      </c>
      <c r="H101" s="941" t="s">
        <v>1621</v>
      </c>
      <c r="I101" s="941" t="s">
        <v>1621</v>
      </c>
      <c r="J101" s="1015">
        <v>45930</v>
      </c>
      <c r="K101" s="896" t="s">
        <v>1621</v>
      </c>
      <c r="L101" s="939">
        <v>93</v>
      </c>
      <c r="M101" s="942" t="s">
        <v>1290</v>
      </c>
      <c r="P101" s="897"/>
      <c r="Q101" s="899"/>
      <c r="R101" s="899"/>
      <c r="S101" s="899"/>
      <c r="T101" s="940"/>
      <c r="U101" s="899"/>
      <c r="V101" s="899"/>
      <c r="Y101" s="897"/>
    </row>
    <row r="102" spans="1:46" s="893" customFormat="1" ht="11.25" customHeight="1">
      <c r="A102" s="932"/>
      <c r="B102" s="1008">
        <v>45552</v>
      </c>
      <c r="C102" s="1008"/>
      <c r="D102" s="893" t="s">
        <v>1702</v>
      </c>
      <c r="E102" s="893" t="s">
        <v>909</v>
      </c>
      <c r="F102" s="893" t="s">
        <v>145</v>
      </c>
      <c r="G102" s="1014">
        <v>7.18</v>
      </c>
      <c r="H102" s="941">
        <v>9.65</v>
      </c>
      <c r="I102" s="941">
        <v>51</v>
      </c>
      <c r="J102" s="1015">
        <v>45930</v>
      </c>
      <c r="K102" s="896" t="s">
        <v>47</v>
      </c>
      <c r="L102" s="939">
        <v>10</v>
      </c>
      <c r="M102" s="942" t="s">
        <v>1290</v>
      </c>
      <c r="P102" s="897"/>
      <c r="Q102" s="899"/>
      <c r="R102" s="899"/>
      <c r="S102" s="899"/>
      <c r="T102" s="940"/>
      <c r="U102" s="899"/>
      <c r="V102" s="899"/>
      <c r="Y102" s="897"/>
    </row>
    <row r="103" spans="1:46" s="893" customFormat="1" ht="11.25" customHeight="1">
      <c r="A103" s="932"/>
      <c r="B103" s="1008">
        <v>45553</v>
      </c>
      <c r="C103" s="1008"/>
      <c r="D103" s="893" t="s">
        <v>1747</v>
      </c>
      <c r="E103" s="893" t="s">
        <v>1707</v>
      </c>
      <c r="F103" s="893" t="s">
        <v>208</v>
      </c>
      <c r="G103" s="1014" t="s">
        <v>1621</v>
      </c>
      <c r="H103" s="941" t="s">
        <v>1621</v>
      </c>
      <c r="I103" s="941" t="s">
        <v>1621</v>
      </c>
      <c r="J103" s="1015">
        <v>0</v>
      </c>
      <c r="K103" s="896" t="s">
        <v>1621</v>
      </c>
      <c r="L103" s="939">
        <v>41.368082999999999</v>
      </c>
      <c r="M103" s="898">
        <v>22</v>
      </c>
      <c r="P103" s="897"/>
      <c r="Q103" s="957"/>
      <c r="R103" s="899"/>
      <c r="S103" s="899"/>
      <c r="T103" s="940"/>
      <c r="U103" s="899"/>
      <c r="V103" s="899"/>
      <c r="Y103" s="897"/>
    </row>
    <row r="104" spans="1:46" s="893" customFormat="1" ht="11.25" customHeight="1">
      <c r="A104" s="932"/>
      <c r="B104" s="1008">
        <v>45553</v>
      </c>
      <c r="C104" s="1008"/>
      <c r="D104" s="893" t="s">
        <v>1703</v>
      </c>
      <c r="E104" s="893" t="s">
        <v>1630</v>
      </c>
      <c r="F104" s="893" t="s">
        <v>1704</v>
      </c>
      <c r="G104" s="1014">
        <v>7.28</v>
      </c>
      <c r="H104" s="941">
        <v>9.4499999999999993</v>
      </c>
      <c r="I104" s="941">
        <v>52.4</v>
      </c>
      <c r="J104" s="1015">
        <v>45199</v>
      </c>
      <c r="K104" s="896" t="s">
        <v>1620</v>
      </c>
      <c r="L104" s="939">
        <v>8.3629999999999995</v>
      </c>
      <c r="M104" s="898">
        <v>31</v>
      </c>
      <c r="P104" s="897"/>
      <c r="Q104" s="1016"/>
      <c r="R104" s="899"/>
      <c r="S104" s="899"/>
      <c r="T104" s="940"/>
      <c r="U104" s="899"/>
      <c r="V104" s="899"/>
      <c r="Y104" s="897"/>
    </row>
    <row r="105" spans="1:46" s="893" customFormat="1" ht="11.25" customHeight="1">
      <c r="A105" s="932"/>
      <c r="B105" s="1008">
        <v>45561</v>
      </c>
      <c r="C105" s="1008"/>
      <c r="D105" s="893" t="s">
        <v>1748</v>
      </c>
      <c r="E105" s="893" t="s">
        <v>1635</v>
      </c>
      <c r="F105" s="893" t="s">
        <v>216</v>
      </c>
      <c r="G105" s="1014" t="s">
        <v>1621</v>
      </c>
      <c r="H105" s="941" t="s">
        <v>1621</v>
      </c>
      <c r="I105" s="941" t="s">
        <v>1621</v>
      </c>
      <c r="J105" s="1015">
        <v>45588</v>
      </c>
      <c r="K105" s="896" t="s">
        <v>1621</v>
      </c>
      <c r="L105" s="939">
        <v>2.6</v>
      </c>
      <c r="M105" s="942" t="s">
        <v>1627</v>
      </c>
      <c r="P105" s="897"/>
      <c r="Q105" s="1017"/>
      <c r="R105" s="899"/>
      <c r="S105" s="899"/>
      <c r="T105" s="940"/>
      <c r="U105" s="899"/>
      <c r="V105" s="899"/>
      <c r="Y105" s="897"/>
    </row>
    <row r="106" spans="1:46" s="893" customFormat="1" ht="11.25" customHeight="1">
      <c r="A106" s="932"/>
      <c r="B106" s="1008">
        <v>45561</v>
      </c>
      <c r="C106" s="1008"/>
      <c r="D106" s="893" t="s">
        <v>1749</v>
      </c>
      <c r="E106" s="893" t="s">
        <v>1183</v>
      </c>
      <c r="F106" s="893" t="s">
        <v>161</v>
      </c>
      <c r="G106" s="1014" t="s">
        <v>1621</v>
      </c>
      <c r="H106" s="941">
        <v>9.86</v>
      </c>
      <c r="I106" s="941" t="s">
        <v>1621</v>
      </c>
      <c r="J106" s="1015">
        <v>46022</v>
      </c>
      <c r="K106" s="896" t="s">
        <v>47</v>
      </c>
      <c r="L106" s="939">
        <v>7</v>
      </c>
      <c r="M106" s="942" t="s">
        <v>1290</v>
      </c>
      <c r="P106" s="897"/>
      <c r="Q106" s="899"/>
      <c r="R106" s="899"/>
      <c r="S106" s="899"/>
      <c r="T106" s="940"/>
      <c r="U106" s="899"/>
      <c r="V106" s="899"/>
      <c r="Y106" s="897"/>
    </row>
    <row r="107" spans="1:46" s="893" customFormat="1" ht="11.25" customHeight="1">
      <c r="A107" s="932"/>
      <c r="B107" s="1018"/>
      <c r="C107" s="1010"/>
      <c r="D107" s="964" t="s">
        <v>1750</v>
      </c>
      <c r="E107" s="964"/>
      <c r="F107" s="979"/>
      <c r="G107" s="946">
        <v>7.12</v>
      </c>
      <c r="H107" s="946">
        <v>9.64</v>
      </c>
      <c r="I107" s="980">
        <v>52.45</v>
      </c>
      <c r="J107" s="946"/>
      <c r="K107" s="946"/>
      <c r="L107" s="977">
        <v>1174.7</v>
      </c>
      <c r="P107" s="897"/>
      <c r="Q107" s="899"/>
      <c r="R107" s="899"/>
      <c r="S107" s="899"/>
      <c r="T107" s="940"/>
      <c r="U107" s="899"/>
      <c r="V107" s="899"/>
      <c r="Y107" s="897"/>
    </row>
    <row r="108" spans="1:46" s="893" customFormat="1" ht="11.25" customHeight="1">
      <c r="A108" s="932"/>
      <c r="B108" s="1018"/>
      <c r="C108" s="1010"/>
      <c r="D108" s="964" t="s">
        <v>324</v>
      </c>
      <c r="E108" s="964"/>
      <c r="F108" s="979"/>
      <c r="G108" s="946">
        <v>12</v>
      </c>
      <c r="H108" s="1011">
        <v>11</v>
      </c>
      <c r="I108" s="984">
        <v>11</v>
      </c>
      <c r="J108" s="946"/>
      <c r="K108" s="946"/>
      <c r="L108" s="946">
        <v>22</v>
      </c>
      <c r="P108" s="897"/>
      <c r="Q108" s="899"/>
      <c r="R108" s="899"/>
      <c r="S108" s="899"/>
      <c r="T108" s="940"/>
      <c r="U108" s="899"/>
      <c r="V108" s="899"/>
      <c r="Y108" s="897"/>
    </row>
    <row r="109" spans="1:46" s="1385" customFormat="1" ht="11.25" customHeight="1">
      <c r="B109" s="1387">
        <v>45566</v>
      </c>
      <c r="C109" s="1387"/>
      <c r="D109" s="1385" t="s">
        <v>1751</v>
      </c>
      <c r="E109" s="1385" t="s">
        <v>1264</v>
      </c>
      <c r="F109" s="1385" t="s">
        <v>155</v>
      </c>
      <c r="G109" s="1402">
        <v>6.1</v>
      </c>
      <c r="H109" s="1389">
        <v>9.85</v>
      </c>
      <c r="I109" s="1389">
        <v>39.64</v>
      </c>
      <c r="J109" s="1396">
        <v>45291</v>
      </c>
      <c r="K109" s="1388" t="s">
        <v>1620</v>
      </c>
      <c r="L109" s="1398">
        <v>29.076176</v>
      </c>
      <c r="M109" s="1391" t="s">
        <v>1689</v>
      </c>
      <c r="O109" s="1402"/>
      <c r="P109" s="1389"/>
      <c r="Q109" s="1389"/>
      <c r="R109" s="1396"/>
      <c r="S109" s="1388"/>
      <c r="T109" s="1398"/>
      <c r="U109" s="1393"/>
      <c r="V109" s="1393"/>
      <c r="Y109" s="1403"/>
    </row>
    <row r="110" spans="1:46" s="893" customFormat="1" ht="11.25" customHeight="1">
      <c r="A110" s="932"/>
      <c r="B110" s="1008">
        <v>45568</v>
      </c>
      <c r="C110" s="1008"/>
      <c r="D110" s="893" t="s">
        <v>1752</v>
      </c>
      <c r="E110" s="893" t="s">
        <v>1727</v>
      </c>
      <c r="F110" s="893" t="s">
        <v>200</v>
      </c>
      <c r="G110" s="1014" t="s">
        <v>1621</v>
      </c>
      <c r="H110" s="941" t="s">
        <v>1621</v>
      </c>
      <c r="I110" s="941" t="s">
        <v>1621</v>
      </c>
      <c r="J110" s="1015">
        <v>45199</v>
      </c>
      <c r="K110" s="896" t="s">
        <v>1621</v>
      </c>
      <c r="L110" s="939">
        <v>70</v>
      </c>
      <c r="M110" s="942" t="s">
        <v>1290</v>
      </c>
      <c r="O110" s="1014"/>
      <c r="P110" s="941"/>
      <c r="Q110" s="941"/>
      <c r="R110" s="1015"/>
      <c r="S110" s="896"/>
      <c r="T110" s="939"/>
      <c r="U110" s="899"/>
      <c r="V110" s="899"/>
      <c r="Y110" s="897"/>
    </row>
    <row r="111" spans="1:46" s="893" customFormat="1" ht="11.25" customHeight="1">
      <c r="A111" s="932"/>
      <c r="B111" s="1008">
        <v>45574</v>
      </c>
      <c r="C111" s="1008"/>
      <c r="D111" s="893" t="s">
        <v>1709</v>
      </c>
      <c r="E111" s="893" t="s">
        <v>1016</v>
      </c>
      <c r="F111" s="893" t="s">
        <v>176</v>
      </c>
      <c r="G111" s="1014">
        <v>7.07</v>
      </c>
      <c r="H111" s="941">
        <v>9.6</v>
      </c>
      <c r="I111" s="941">
        <v>55</v>
      </c>
      <c r="J111" s="1015">
        <v>45443</v>
      </c>
      <c r="K111" s="896" t="s">
        <v>1620</v>
      </c>
      <c r="L111" s="939">
        <v>270.8</v>
      </c>
      <c r="M111" s="942" t="s">
        <v>1290</v>
      </c>
      <c r="O111" s="1014"/>
      <c r="P111" s="941"/>
      <c r="Q111" s="941"/>
      <c r="R111" s="1015"/>
      <c r="S111" s="896"/>
      <c r="T111" s="939"/>
      <c r="U111" s="899"/>
      <c r="V111" s="899"/>
      <c r="Y111" s="897"/>
    </row>
    <row r="112" spans="1:46" s="897" customFormat="1" ht="11.25" customHeight="1">
      <c r="A112" s="932"/>
      <c r="B112" s="1008">
        <v>45582</v>
      </c>
      <c r="C112" s="1008"/>
      <c r="D112" s="893" t="s">
        <v>1753</v>
      </c>
      <c r="E112" s="893" t="s">
        <v>1097</v>
      </c>
      <c r="F112" s="893" t="s">
        <v>228</v>
      </c>
      <c r="G112" s="896">
        <v>7.49</v>
      </c>
      <c r="H112" s="941">
        <v>10.08</v>
      </c>
      <c r="I112" s="941" t="s">
        <v>1621</v>
      </c>
      <c r="J112" s="976" t="s">
        <v>1621</v>
      </c>
      <c r="K112" s="896" t="s">
        <v>1621</v>
      </c>
      <c r="L112" s="942">
        <v>-28.9</v>
      </c>
      <c r="M112" s="898">
        <v>18</v>
      </c>
      <c r="N112" s="893"/>
      <c r="O112" s="896"/>
      <c r="P112" s="941"/>
      <c r="Q112" s="941"/>
      <c r="R112" s="976"/>
      <c r="S112" s="896"/>
      <c r="T112" s="942"/>
      <c r="U112" s="899"/>
      <c r="V112" s="899"/>
      <c r="W112" s="893"/>
      <c r="X112" s="893"/>
      <c r="Z112" s="893"/>
      <c r="AA112" s="893"/>
      <c r="AB112" s="893"/>
      <c r="AC112" s="893"/>
      <c r="AD112" s="893"/>
      <c r="AE112" s="893"/>
      <c r="AF112" s="893"/>
      <c r="AG112" s="893"/>
      <c r="AH112" s="893"/>
      <c r="AI112" s="893"/>
      <c r="AJ112" s="893"/>
      <c r="AK112" s="893"/>
      <c r="AL112" s="893"/>
      <c r="AM112" s="893"/>
      <c r="AN112" s="893"/>
      <c r="AO112" s="893"/>
      <c r="AP112" s="893"/>
      <c r="AQ112" s="893"/>
      <c r="AR112" s="893"/>
      <c r="AS112" s="893"/>
      <c r="AT112" s="893"/>
    </row>
    <row r="113" spans="1:46" s="897" customFormat="1" ht="11.25" customHeight="1">
      <c r="A113" s="932"/>
      <c r="B113" s="1008">
        <v>45590</v>
      </c>
      <c r="C113" s="1008"/>
      <c r="D113" s="893" t="s">
        <v>1754</v>
      </c>
      <c r="E113" s="893" t="s">
        <v>1755</v>
      </c>
      <c r="F113" s="893" t="s">
        <v>223</v>
      </c>
      <c r="G113" s="1014">
        <v>7.06</v>
      </c>
      <c r="H113" s="941">
        <v>9.4</v>
      </c>
      <c r="I113" s="941">
        <v>50</v>
      </c>
      <c r="J113" s="1015">
        <v>45961</v>
      </c>
      <c r="K113" s="896" t="s">
        <v>47</v>
      </c>
      <c r="L113" s="939">
        <v>95</v>
      </c>
      <c r="M113" s="942" t="s">
        <v>1290</v>
      </c>
      <c r="N113" s="893"/>
      <c r="O113" s="1014"/>
      <c r="P113" s="941"/>
      <c r="Q113" s="941"/>
      <c r="R113" s="1015"/>
      <c r="S113" s="896"/>
      <c r="T113" s="939"/>
      <c r="U113" s="899"/>
      <c r="V113" s="899"/>
      <c r="W113" s="893"/>
      <c r="X113" s="893"/>
      <c r="Z113" s="893"/>
      <c r="AA113" s="893"/>
      <c r="AB113" s="893"/>
      <c r="AC113" s="893"/>
      <c r="AD113" s="893"/>
      <c r="AE113" s="893"/>
      <c r="AF113" s="893"/>
      <c r="AG113" s="893"/>
      <c r="AH113" s="893"/>
      <c r="AI113" s="893"/>
      <c r="AJ113" s="893"/>
      <c r="AK113" s="893"/>
      <c r="AL113" s="893"/>
      <c r="AM113" s="893"/>
      <c r="AN113" s="893"/>
      <c r="AO113" s="893"/>
      <c r="AP113" s="893"/>
      <c r="AQ113" s="893"/>
      <c r="AR113" s="893"/>
      <c r="AS113" s="893"/>
      <c r="AT113" s="893"/>
    </row>
    <row r="114" spans="1:46" s="897" customFormat="1" ht="11.25" customHeight="1">
      <c r="A114" s="932"/>
      <c r="B114" s="1008">
        <v>45590</v>
      </c>
      <c r="C114" s="1008"/>
      <c r="D114" s="893" t="s">
        <v>232</v>
      </c>
      <c r="E114" s="893" t="s">
        <v>1202</v>
      </c>
      <c r="F114" s="893" t="s">
        <v>233</v>
      </c>
      <c r="G114" s="1014">
        <v>7</v>
      </c>
      <c r="H114" s="941">
        <v>9.35</v>
      </c>
      <c r="I114" s="941">
        <v>54</v>
      </c>
      <c r="J114" s="1015">
        <v>45291</v>
      </c>
      <c r="K114" s="896" t="s">
        <v>47</v>
      </c>
      <c r="L114" s="939">
        <v>130.75942600000002</v>
      </c>
      <c r="M114" s="942" t="s">
        <v>1518</v>
      </c>
      <c r="N114" s="893"/>
      <c r="O114" s="1014"/>
      <c r="P114" s="941"/>
      <c r="Q114" s="941"/>
      <c r="R114" s="1015"/>
      <c r="S114" s="896"/>
      <c r="T114" s="939"/>
      <c r="U114" s="899"/>
      <c r="V114" s="899"/>
      <c r="W114" s="893"/>
      <c r="X114" s="893"/>
      <c r="Z114" s="893"/>
      <c r="AA114" s="893"/>
      <c r="AB114" s="893"/>
      <c r="AC114" s="893"/>
      <c r="AD114" s="893"/>
      <c r="AE114" s="893"/>
      <c r="AF114" s="893"/>
      <c r="AG114" s="893"/>
      <c r="AH114" s="893"/>
      <c r="AI114" s="893"/>
      <c r="AJ114" s="893"/>
      <c r="AK114" s="893"/>
      <c r="AL114" s="893"/>
      <c r="AM114" s="893"/>
      <c r="AN114" s="893"/>
      <c r="AO114" s="893"/>
      <c r="AP114" s="893"/>
      <c r="AQ114" s="893"/>
      <c r="AR114" s="893"/>
      <c r="AS114" s="893"/>
      <c r="AT114" s="893"/>
    </row>
    <row r="115" spans="1:46" s="897" customFormat="1" ht="11.25" customHeight="1">
      <c r="A115" s="932"/>
      <c r="B115" s="1008">
        <v>45595</v>
      </c>
      <c r="C115" s="1008"/>
      <c r="D115" s="893" t="s">
        <v>1756</v>
      </c>
      <c r="E115" s="893" t="s">
        <v>750</v>
      </c>
      <c r="F115" s="893" t="s">
        <v>208</v>
      </c>
      <c r="G115" s="1014" t="s">
        <v>1621</v>
      </c>
      <c r="H115" s="941" t="s">
        <v>1621</v>
      </c>
      <c r="I115" s="941" t="s">
        <v>1621</v>
      </c>
      <c r="J115" s="976" t="s">
        <v>1621</v>
      </c>
      <c r="K115" s="896" t="s">
        <v>1621</v>
      </c>
      <c r="L115" s="939">
        <v>12.741779000000001</v>
      </c>
      <c r="M115" s="898">
        <v>22</v>
      </c>
      <c r="N115" s="893"/>
      <c r="O115" s="1014"/>
      <c r="P115" s="941"/>
      <c r="Q115" s="941"/>
      <c r="R115" s="976"/>
      <c r="S115" s="896"/>
      <c r="T115" s="939"/>
      <c r="U115" s="958"/>
      <c r="V115" s="958"/>
      <c r="W115" s="893"/>
      <c r="X115" s="893"/>
      <c r="Z115" s="893"/>
      <c r="AA115" s="893"/>
      <c r="AB115" s="893"/>
      <c r="AC115" s="893"/>
      <c r="AD115" s="893"/>
      <c r="AE115" s="893"/>
      <c r="AF115" s="893"/>
      <c r="AG115" s="893"/>
      <c r="AH115" s="893"/>
      <c r="AI115" s="893"/>
      <c r="AJ115" s="893"/>
      <c r="AK115" s="893"/>
      <c r="AL115" s="893"/>
      <c r="AM115" s="893"/>
      <c r="AN115" s="893"/>
      <c r="AO115" s="893"/>
      <c r="AP115" s="893"/>
      <c r="AQ115" s="893"/>
      <c r="AR115" s="893"/>
      <c r="AS115" s="893"/>
      <c r="AT115" s="893"/>
    </row>
    <row r="116" spans="1:46" s="897" customFormat="1" ht="11.25" customHeight="1">
      <c r="A116" s="932"/>
      <c r="B116" s="1008">
        <v>45596</v>
      </c>
      <c r="C116" s="1008"/>
      <c r="D116" s="893" t="s">
        <v>1757</v>
      </c>
      <c r="E116" s="893" t="s">
        <v>1645</v>
      </c>
      <c r="F116" s="893" t="s">
        <v>149</v>
      </c>
      <c r="G116" s="1014">
        <v>7.54</v>
      </c>
      <c r="H116" s="941">
        <v>9.9</v>
      </c>
      <c r="I116" s="941">
        <v>45.3</v>
      </c>
      <c r="J116" s="1015">
        <v>45657</v>
      </c>
      <c r="K116" s="896" t="s">
        <v>47</v>
      </c>
      <c r="L116" s="939">
        <v>3.174077</v>
      </c>
      <c r="M116" s="942" t="s">
        <v>1518</v>
      </c>
      <c r="N116" s="893"/>
      <c r="O116" s="1014"/>
      <c r="P116" s="941"/>
      <c r="Q116" s="941"/>
      <c r="R116" s="1015"/>
      <c r="S116" s="896"/>
      <c r="T116" s="939"/>
      <c r="U116" s="899"/>
      <c r="V116" s="899"/>
      <c r="W116" s="893"/>
      <c r="X116" s="893"/>
      <c r="Z116" s="893"/>
      <c r="AA116" s="893"/>
      <c r="AB116" s="893"/>
      <c r="AC116" s="893"/>
      <c r="AD116" s="893"/>
      <c r="AE116" s="893"/>
      <c r="AF116" s="893"/>
      <c r="AG116" s="893"/>
      <c r="AH116" s="893"/>
      <c r="AI116" s="893"/>
      <c r="AJ116" s="893"/>
      <c r="AK116" s="893"/>
      <c r="AL116" s="893"/>
      <c r="AM116" s="893"/>
      <c r="AN116" s="893"/>
      <c r="AO116" s="893"/>
      <c r="AP116" s="893"/>
      <c r="AQ116" s="893"/>
      <c r="AR116" s="893"/>
      <c r="AS116" s="893"/>
      <c r="AT116" s="893"/>
    </row>
    <row r="117" spans="1:46" s="897" customFormat="1" ht="11.25" customHeight="1">
      <c r="A117" s="932"/>
      <c r="B117" s="1008">
        <v>45602</v>
      </c>
      <c r="C117" s="1008"/>
      <c r="D117" s="893" t="s">
        <v>1757</v>
      </c>
      <c r="E117" s="893" t="s">
        <v>1645</v>
      </c>
      <c r="F117" s="893" t="s">
        <v>152</v>
      </c>
      <c r="G117" s="1014" t="s">
        <v>1621</v>
      </c>
      <c r="H117" s="941" t="s">
        <v>1621</v>
      </c>
      <c r="I117" s="941" t="s">
        <v>1621</v>
      </c>
      <c r="J117" s="1015">
        <v>44926</v>
      </c>
      <c r="K117" s="896" t="s">
        <v>1621</v>
      </c>
      <c r="L117" s="939">
        <v>9.1</v>
      </c>
      <c r="M117" s="942" t="s">
        <v>1290</v>
      </c>
      <c r="N117" s="893"/>
      <c r="O117" s="1014"/>
      <c r="P117" s="941"/>
      <c r="Q117" s="941"/>
      <c r="R117" s="1015"/>
      <c r="S117" s="896"/>
      <c r="T117" s="939"/>
      <c r="U117" s="899"/>
      <c r="V117" s="899"/>
      <c r="W117" s="893"/>
      <c r="X117" s="893"/>
      <c r="Z117" s="893"/>
      <c r="AA117" s="893"/>
      <c r="AB117" s="893"/>
      <c r="AC117" s="893"/>
      <c r="AD117" s="893"/>
      <c r="AE117" s="893"/>
      <c r="AF117" s="893"/>
      <c r="AG117" s="893"/>
      <c r="AH117" s="893"/>
      <c r="AI117" s="893"/>
      <c r="AJ117" s="893"/>
      <c r="AK117" s="893"/>
      <c r="AL117" s="893"/>
      <c r="AM117" s="893"/>
      <c r="AN117" s="893"/>
      <c r="AO117" s="893"/>
      <c r="AP117" s="893"/>
      <c r="AQ117" s="893"/>
      <c r="AR117" s="893"/>
      <c r="AS117" s="893"/>
      <c r="AT117" s="893"/>
    </row>
    <row r="118" spans="1:46" s="897" customFormat="1" ht="11.25" customHeight="1">
      <c r="A118" s="932"/>
      <c r="B118" s="1008">
        <v>45602</v>
      </c>
      <c r="C118" s="1008"/>
      <c r="D118" s="893" t="s">
        <v>1758</v>
      </c>
      <c r="E118" s="893" t="s">
        <v>1518</v>
      </c>
      <c r="F118" s="893" t="s">
        <v>157</v>
      </c>
      <c r="G118" s="1014">
        <v>8.61</v>
      </c>
      <c r="H118" s="941">
        <v>10</v>
      </c>
      <c r="I118" s="941">
        <v>83.18</v>
      </c>
      <c r="J118" s="1015">
        <v>45930</v>
      </c>
      <c r="K118" s="896" t="s">
        <v>1620</v>
      </c>
      <c r="L118" s="939">
        <v>11.059419999999999</v>
      </c>
      <c r="M118" s="942" t="s">
        <v>1627</v>
      </c>
      <c r="N118" s="893"/>
      <c r="O118" s="1014"/>
      <c r="P118" s="941"/>
      <c r="Q118" s="941"/>
      <c r="R118" s="1015"/>
      <c r="S118" s="896"/>
      <c r="T118" s="939"/>
      <c r="U118" s="899"/>
      <c r="V118" s="899"/>
      <c r="W118" s="893"/>
      <c r="X118" s="893"/>
      <c r="Z118" s="893"/>
      <c r="AA118" s="893"/>
      <c r="AB118" s="893"/>
      <c r="AC118" s="893"/>
      <c r="AD118" s="893"/>
      <c r="AE118" s="893"/>
      <c r="AF118" s="893"/>
      <c r="AG118" s="893"/>
      <c r="AH118" s="893"/>
      <c r="AI118" s="893"/>
      <c r="AJ118" s="893"/>
      <c r="AK118" s="893"/>
      <c r="AL118" s="893"/>
      <c r="AM118" s="893"/>
      <c r="AN118" s="893"/>
      <c r="AO118" s="893"/>
      <c r="AP118" s="893"/>
      <c r="AQ118" s="893"/>
      <c r="AR118" s="893"/>
      <c r="AS118" s="893"/>
      <c r="AT118" s="893"/>
    </row>
    <row r="119" spans="1:46" s="1403" customFormat="1" ht="11.25" customHeight="1">
      <c r="A119" s="1385"/>
      <c r="B119" s="1387">
        <v>45603</v>
      </c>
      <c r="C119" s="1387"/>
      <c r="D119" s="1385" t="s">
        <v>1759</v>
      </c>
      <c r="E119" s="1385" t="s">
        <v>716</v>
      </c>
      <c r="F119" s="1385" t="s">
        <v>161</v>
      </c>
      <c r="G119" s="1402">
        <v>5.8</v>
      </c>
      <c r="H119" s="1389">
        <v>9.8000000000000007</v>
      </c>
      <c r="I119" s="1389">
        <v>39.590000000000003</v>
      </c>
      <c r="J119" s="1396">
        <v>45930</v>
      </c>
      <c r="K119" s="1388" t="s">
        <v>47</v>
      </c>
      <c r="L119" s="1398">
        <v>113.788</v>
      </c>
      <c r="M119" s="1391" t="s">
        <v>1628</v>
      </c>
      <c r="N119" s="1385"/>
      <c r="O119" s="1402"/>
      <c r="P119" s="1389"/>
      <c r="Q119" s="1389"/>
      <c r="R119" s="1396"/>
      <c r="S119" s="1388"/>
      <c r="T119" s="1398"/>
      <c r="U119" s="1393"/>
      <c r="V119" s="1393"/>
      <c r="W119" s="1385"/>
      <c r="X119" s="1385"/>
      <c r="Z119" s="1385"/>
      <c r="AA119" s="1385"/>
      <c r="AB119" s="1385"/>
      <c r="AC119" s="1385"/>
      <c r="AD119" s="1385"/>
      <c r="AE119" s="1385"/>
      <c r="AF119" s="1385"/>
      <c r="AG119" s="1385"/>
      <c r="AH119" s="1385"/>
      <c r="AI119" s="1385"/>
      <c r="AJ119" s="1385"/>
      <c r="AK119" s="1385"/>
      <c r="AL119" s="1385"/>
      <c r="AM119" s="1385"/>
      <c r="AN119" s="1385"/>
      <c r="AO119" s="1385"/>
      <c r="AP119" s="1385"/>
      <c r="AQ119" s="1385"/>
      <c r="AR119" s="1385"/>
      <c r="AS119" s="1385"/>
      <c r="AT119" s="1385"/>
    </row>
    <row r="120" spans="1:46" s="897" customFormat="1" ht="11.25" customHeight="1">
      <c r="A120" s="932"/>
      <c r="B120" s="1008">
        <v>45603</v>
      </c>
      <c r="C120" s="1008"/>
      <c r="D120" s="893" t="s">
        <v>1699</v>
      </c>
      <c r="E120" s="893" t="s">
        <v>1658</v>
      </c>
      <c r="F120" s="893" t="s">
        <v>236</v>
      </c>
      <c r="G120" s="1014">
        <v>7.26</v>
      </c>
      <c r="H120" s="941">
        <v>9.9</v>
      </c>
      <c r="I120" s="941">
        <v>50.19</v>
      </c>
      <c r="J120" s="1015">
        <v>45657</v>
      </c>
      <c r="K120" s="896" t="s">
        <v>47</v>
      </c>
      <c r="L120" s="939">
        <v>9.4438829999999996</v>
      </c>
      <c r="M120" s="942" t="s">
        <v>1622</v>
      </c>
      <c r="N120" s="893"/>
      <c r="O120" s="1014"/>
      <c r="P120" s="941"/>
      <c r="Q120" s="941"/>
      <c r="R120" s="1015"/>
      <c r="S120" s="896"/>
      <c r="T120" s="939"/>
      <c r="U120" s="899"/>
      <c r="V120" s="899"/>
      <c r="W120" s="893"/>
      <c r="X120" s="893"/>
      <c r="Z120" s="893"/>
      <c r="AA120" s="893"/>
      <c r="AB120" s="893"/>
      <c r="AC120" s="893"/>
      <c r="AD120" s="893"/>
      <c r="AE120" s="893"/>
      <c r="AF120" s="893"/>
      <c r="AG120" s="893"/>
      <c r="AH120" s="893"/>
      <c r="AI120" s="893"/>
      <c r="AJ120" s="893"/>
      <c r="AK120" s="893"/>
      <c r="AL120" s="893"/>
      <c r="AM120" s="893"/>
      <c r="AN120" s="893"/>
      <c r="AO120" s="893"/>
      <c r="AP120" s="893"/>
      <c r="AQ120" s="893"/>
      <c r="AR120" s="893"/>
      <c r="AS120" s="893"/>
      <c r="AT120" s="893"/>
    </row>
    <row r="121" spans="1:46" s="897" customFormat="1" ht="11.25" customHeight="1">
      <c r="A121" s="932"/>
      <c r="B121" s="1008">
        <v>45603</v>
      </c>
      <c r="C121" s="1008"/>
      <c r="D121" s="893" t="s">
        <v>1656</v>
      </c>
      <c r="E121" s="893" t="s">
        <v>1202</v>
      </c>
      <c r="F121" s="893" t="s">
        <v>236</v>
      </c>
      <c r="G121" s="1014">
        <v>7.36</v>
      </c>
      <c r="H121" s="941">
        <v>9.9</v>
      </c>
      <c r="I121" s="941">
        <v>52.5</v>
      </c>
      <c r="J121" s="1015">
        <v>45657</v>
      </c>
      <c r="K121" s="896" t="s">
        <v>47</v>
      </c>
      <c r="L121" s="939">
        <v>7.3479999999999999</v>
      </c>
      <c r="M121" s="942" t="s">
        <v>1622</v>
      </c>
      <c r="N121" s="893"/>
      <c r="O121" s="1014"/>
      <c r="P121" s="941"/>
      <c r="Q121" s="941"/>
      <c r="R121" s="1015"/>
      <c r="S121" s="896"/>
      <c r="T121" s="939"/>
      <c r="U121" s="899"/>
      <c r="V121" s="899"/>
      <c r="W121" s="893"/>
      <c r="X121" s="893"/>
      <c r="Z121" s="893"/>
      <c r="AA121" s="893"/>
      <c r="AB121" s="893"/>
      <c r="AC121" s="893"/>
      <c r="AD121" s="893"/>
      <c r="AE121" s="893"/>
      <c r="AF121" s="893"/>
      <c r="AG121" s="893"/>
      <c r="AH121" s="893"/>
      <c r="AI121" s="893"/>
      <c r="AJ121" s="893"/>
      <c r="AK121" s="893"/>
      <c r="AL121" s="893"/>
      <c r="AM121" s="893"/>
      <c r="AN121" s="893"/>
      <c r="AO121" s="893"/>
      <c r="AP121" s="893"/>
      <c r="AQ121" s="893"/>
      <c r="AR121" s="893"/>
      <c r="AS121" s="893"/>
      <c r="AT121" s="893"/>
    </row>
    <row r="122" spans="1:46" s="897" customFormat="1" ht="11.25" customHeight="1">
      <c r="A122" s="932"/>
      <c r="B122" s="1008">
        <v>45614</v>
      </c>
      <c r="C122" s="1008"/>
      <c r="D122" s="893" t="s">
        <v>1760</v>
      </c>
      <c r="E122" s="893" t="s">
        <v>1761</v>
      </c>
      <c r="F122" s="893" t="s">
        <v>206</v>
      </c>
      <c r="G122" s="1014">
        <v>7.25</v>
      </c>
      <c r="H122" s="941">
        <v>9.15</v>
      </c>
      <c r="I122" s="941">
        <v>53</v>
      </c>
      <c r="J122" s="1015">
        <v>44926</v>
      </c>
      <c r="K122" s="896" t="s">
        <v>47</v>
      </c>
      <c r="L122" s="939">
        <v>-24.610455000000002</v>
      </c>
      <c r="M122" s="942" t="s">
        <v>1518</v>
      </c>
      <c r="N122" s="893"/>
      <c r="O122" s="1014"/>
      <c r="P122" s="941"/>
      <c r="Q122" s="941"/>
      <c r="R122" s="1015"/>
      <c r="S122" s="896"/>
      <c r="T122" s="939"/>
      <c r="U122" s="899"/>
      <c r="V122" s="899"/>
      <c r="W122" s="893"/>
      <c r="X122" s="893"/>
      <c r="Z122" s="893"/>
      <c r="AA122" s="893"/>
      <c r="AB122" s="893"/>
      <c r="AC122" s="893"/>
      <c r="AD122" s="893"/>
      <c r="AE122" s="893"/>
      <c r="AF122" s="893"/>
      <c r="AG122" s="893"/>
      <c r="AH122" s="893"/>
      <c r="AI122" s="893"/>
      <c r="AJ122" s="893"/>
      <c r="AK122" s="893"/>
      <c r="AL122" s="893"/>
      <c r="AM122" s="893"/>
      <c r="AN122" s="893"/>
      <c r="AO122" s="893"/>
      <c r="AP122" s="893"/>
      <c r="AQ122" s="893"/>
      <c r="AR122" s="893"/>
      <c r="AS122" s="893"/>
      <c r="AT122" s="893"/>
    </row>
    <row r="123" spans="1:46" s="897" customFormat="1" ht="11.25" customHeight="1">
      <c r="A123" s="932"/>
      <c r="B123" s="1008">
        <v>45614</v>
      </c>
      <c r="C123" s="1008"/>
      <c r="D123" s="893" t="s">
        <v>1762</v>
      </c>
      <c r="E123" s="893" t="s">
        <v>1761</v>
      </c>
      <c r="F123" s="893" t="s">
        <v>206</v>
      </c>
      <c r="G123" s="1014">
        <v>7.06</v>
      </c>
      <c r="H123" s="941">
        <v>9.15</v>
      </c>
      <c r="I123" s="941">
        <v>53</v>
      </c>
      <c r="J123" s="1015">
        <v>44926</v>
      </c>
      <c r="K123" s="896" t="s">
        <v>47</v>
      </c>
      <c r="L123" s="939">
        <v>-10.715935999999999</v>
      </c>
      <c r="M123" s="942" t="s">
        <v>1518</v>
      </c>
      <c r="N123" s="893"/>
      <c r="O123" s="1014"/>
      <c r="P123" s="941"/>
      <c r="Q123" s="941"/>
      <c r="R123" s="1015"/>
      <c r="S123" s="896"/>
      <c r="T123" s="939"/>
      <c r="U123" s="899"/>
      <c r="V123" s="899"/>
      <c r="W123" s="893"/>
      <c r="X123" s="893"/>
      <c r="Z123" s="893"/>
      <c r="AA123" s="893"/>
      <c r="AB123" s="893"/>
      <c r="AC123" s="893"/>
      <c r="AD123" s="893"/>
      <c r="AE123" s="893"/>
      <c r="AF123" s="893"/>
      <c r="AG123" s="893"/>
      <c r="AH123" s="893"/>
      <c r="AI123" s="893"/>
      <c r="AJ123" s="893"/>
      <c r="AK123" s="893"/>
      <c r="AL123" s="893"/>
      <c r="AM123" s="893"/>
      <c r="AN123" s="893"/>
      <c r="AO123" s="893"/>
      <c r="AP123" s="893"/>
      <c r="AQ123" s="893"/>
      <c r="AR123" s="893"/>
      <c r="AS123" s="893"/>
      <c r="AT123" s="893"/>
    </row>
    <row r="124" spans="1:46" s="897" customFormat="1" ht="11.25" customHeight="1">
      <c r="A124" s="932"/>
      <c r="B124" s="1008">
        <v>45616</v>
      </c>
      <c r="C124" s="1008"/>
      <c r="D124" s="893" t="s">
        <v>1726</v>
      </c>
      <c r="E124" s="893" t="s">
        <v>1727</v>
      </c>
      <c r="F124" s="893" t="s">
        <v>169</v>
      </c>
      <c r="G124" s="1014">
        <v>7.55</v>
      </c>
      <c r="H124" s="941">
        <v>9.6999999999999993</v>
      </c>
      <c r="I124" s="941">
        <v>59.58</v>
      </c>
      <c r="J124" s="1015">
        <v>45291</v>
      </c>
      <c r="K124" s="896" t="s">
        <v>1620</v>
      </c>
      <c r="L124" s="939">
        <v>19.3</v>
      </c>
      <c r="M124" s="942" t="s">
        <v>1290</v>
      </c>
      <c r="N124" s="893"/>
      <c r="O124" s="1014"/>
      <c r="P124" s="941"/>
      <c r="Q124" s="941"/>
      <c r="R124" s="1015"/>
      <c r="S124" s="896"/>
      <c r="T124" s="939"/>
      <c r="U124" s="899"/>
      <c r="V124" s="899"/>
      <c r="W124" s="893"/>
      <c r="X124" s="893"/>
      <c r="Z124" s="893"/>
      <c r="AA124" s="893"/>
      <c r="AB124" s="893"/>
      <c r="AC124" s="893"/>
      <c r="AD124" s="893"/>
      <c r="AE124" s="893"/>
      <c r="AF124" s="893"/>
      <c r="AG124" s="893"/>
      <c r="AH124" s="893"/>
      <c r="AI124" s="893"/>
      <c r="AJ124" s="893"/>
      <c r="AK124" s="893"/>
      <c r="AL124" s="893"/>
      <c r="AM124" s="893"/>
      <c r="AN124" s="893"/>
      <c r="AO124" s="893"/>
      <c r="AP124" s="893"/>
      <c r="AQ124" s="893"/>
      <c r="AR124" s="893"/>
      <c r="AS124" s="893"/>
      <c r="AT124" s="893"/>
    </row>
    <row r="125" spans="1:46" s="893" customFormat="1" ht="11.25" customHeight="1">
      <c r="A125" s="932"/>
      <c r="B125" s="1008">
        <v>45617</v>
      </c>
      <c r="C125" s="1008"/>
      <c r="D125" s="893" t="s">
        <v>1763</v>
      </c>
      <c r="E125" s="893" t="s">
        <v>973</v>
      </c>
      <c r="F125" s="893" t="s">
        <v>219</v>
      </c>
      <c r="G125" s="1014" t="s">
        <v>1621</v>
      </c>
      <c r="H125" s="941" t="s">
        <v>1621</v>
      </c>
      <c r="I125" s="941" t="s">
        <v>1621</v>
      </c>
      <c r="J125" s="1015">
        <v>46022</v>
      </c>
      <c r="K125" s="896" t="s">
        <v>1621</v>
      </c>
      <c r="L125" s="939">
        <v>74</v>
      </c>
      <c r="M125" s="942" t="s">
        <v>1290</v>
      </c>
      <c r="O125" s="1014"/>
      <c r="P125" s="941"/>
      <c r="Q125" s="941"/>
      <c r="R125" s="1015"/>
      <c r="S125" s="896"/>
      <c r="T125" s="939"/>
      <c r="U125" s="899"/>
      <c r="V125" s="899"/>
      <c r="Y125" s="897"/>
    </row>
    <row r="126" spans="1:46" s="893" customFormat="1" ht="11.25" customHeight="1">
      <c r="A126" s="932"/>
      <c r="B126" s="1008">
        <v>45617</v>
      </c>
      <c r="C126" s="1008"/>
      <c r="D126" s="893" t="s">
        <v>1764</v>
      </c>
      <c r="E126" s="893" t="s">
        <v>1518</v>
      </c>
      <c r="F126" s="893" t="s">
        <v>176</v>
      </c>
      <c r="G126" s="1014">
        <v>7.58</v>
      </c>
      <c r="H126" s="941">
        <v>9.6</v>
      </c>
      <c r="I126" s="941">
        <v>55</v>
      </c>
      <c r="J126" s="1015">
        <v>45473</v>
      </c>
      <c r="K126" s="896" t="s">
        <v>1620</v>
      </c>
      <c r="L126" s="939">
        <v>38</v>
      </c>
      <c r="M126" s="942" t="s">
        <v>1290</v>
      </c>
      <c r="O126" s="1014"/>
      <c r="P126" s="941"/>
      <c r="Q126" s="941"/>
      <c r="R126" s="1015"/>
      <c r="S126" s="896"/>
      <c r="T126" s="939"/>
      <c r="U126" s="899"/>
      <c r="V126" s="899"/>
      <c r="Y126" s="897"/>
    </row>
    <row r="127" spans="1:46" s="893" customFormat="1" ht="11.25" customHeight="1">
      <c r="A127" s="932"/>
      <c r="B127" s="1008">
        <v>45617</v>
      </c>
      <c r="C127" s="1008"/>
      <c r="D127" s="893" t="s">
        <v>1765</v>
      </c>
      <c r="E127" s="893" t="s">
        <v>1766</v>
      </c>
      <c r="F127" s="893" t="s">
        <v>176</v>
      </c>
      <c r="G127" s="1014">
        <v>7.08</v>
      </c>
      <c r="H127" s="941">
        <v>9.6</v>
      </c>
      <c r="I127" s="941">
        <v>54</v>
      </c>
      <c r="J127" s="1015">
        <v>45473</v>
      </c>
      <c r="K127" s="896" t="s">
        <v>1620</v>
      </c>
      <c r="L127" s="939">
        <v>157</v>
      </c>
      <c r="M127" s="942" t="s">
        <v>1290</v>
      </c>
      <c r="O127" s="1014"/>
      <c r="P127" s="941"/>
      <c r="Q127" s="941"/>
      <c r="R127" s="1015"/>
      <c r="S127" s="896"/>
      <c r="T127" s="939"/>
      <c r="U127" s="899"/>
      <c r="V127" s="899"/>
      <c r="Y127" s="897"/>
    </row>
    <row r="128" spans="1:46" s="1385" customFormat="1" ht="11.25" customHeight="1">
      <c r="B128" s="1387">
        <v>45617</v>
      </c>
      <c r="C128" s="1387"/>
      <c r="D128" s="1385" t="s">
        <v>1767</v>
      </c>
      <c r="E128" s="1385" t="s">
        <v>1518</v>
      </c>
      <c r="F128" s="1385" t="s">
        <v>155</v>
      </c>
      <c r="G128" s="1402">
        <v>6.17</v>
      </c>
      <c r="H128" s="1389">
        <v>9.85</v>
      </c>
      <c r="I128" s="1389">
        <v>41.07</v>
      </c>
      <c r="J128" s="1396">
        <v>45657</v>
      </c>
      <c r="K128" s="1388" t="s">
        <v>1620</v>
      </c>
      <c r="L128" s="1398">
        <v>87.684216000000006</v>
      </c>
      <c r="M128" s="1391" t="s">
        <v>1689</v>
      </c>
      <c r="O128" s="1402"/>
      <c r="P128" s="1389"/>
      <c r="Q128" s="1389"/>
      <c r="R128" s="1396"/>
      <c r="S128" s="1388"/>
      <c r="T128" s="1398"/>
      <c r="U128" s="1393"/>
      <c r="V128" s="1393"/>
      <c r="Y128" s="1403"/>
    </row>
    <row r="129" spans="1:25" s="893" customFormat="1" ht="11.25" customHeight="1">
      <c r="A129" s="932"/>
      <c r="B129" s="1008">
        <v>45622</v>
      </c>
      <c r="C129" s="1008"/>
      <c r="D129" s="893" t="s">
        <v>1768</v>
      </c>
      <c r="E129" s="893" t="s">
        <v>1264</v>
      </c>
      <c r="F129" s="893" t="s">
        <v>145</v>
      </c>
      <c r="G129" s="1014">
        <v>7.21</v>
      </c>
      <c r="H129" s="941" t="s">
        <v>1621</v>
      </c>
      <c r="I129" s="941" t="s">
        <v>1621</v>
      </c>
      <c r="J129" s="1015">
        <v>45291</v>
      </c>
      <c r="K129" s="896" t="s">
        <v>1620</v>
      </c>
      <c r="L129" s="939">
        <v>14.961200000000002</v>
      </c>
      <c r="M129" s="942" t="s">
        <v>1622</v>
      </c>
      <c r="O129" s="1014"/>
      <c r="P129" s="941"/>
      <c r="Q129" s="941"/>
      <c r="R129" s="1015"/>
      <c r="S129" s="896"/>
      <c r="T129" s="939"/>
      <c r="U129" s="899"/>
      <c r="V129" s="899"/>
      <c r="Y129" s="897"/>
    </row>
    <row r="130" spans="1:25" s="893" customFormat="1" ht="11.25" customHeight="1">
      <c r="A130" s="932"/>
      <c r="B130" s="1008">
        <v>45630</v>
      </c>
      <c r="C130" s="1008"/>
      <c r="D130" s="893" t="s">
        <v>1654</v>
      </c>
      <c r="E130" s="893" t="s">
        <v>718</v>
      </c>
      <c r="F130" s="893" t="s">
        <v>167</v>
      </c>
      <c r="G130" s="1014">
        <v>7.07</v>
      </c>
      <c r="H130" s="941" t="s">
        <v>1621</v>
      </c>
      <c r="I130" s="941" t="s">
        <v>1621</v>
      </c>
      <c r="J130" s="1015">
        <v>45291</v>
      </c>
      <c r="K130" s="896" t="s">
        <v>47</v>
      </c>
      <c r="L130" s="939">
        <v>20.329072</v>
      </c>
      <c r="M130" s="942" t="s">
        <v>1290</v>
      </c>
      <c r="O130" s="1014"/>
      <c r="P130" s="941"/>
      <c r="Q130" s="941"/>
      <c r="R130" s="1015"/>
      <c r="S130" s="896"/>
      <c r="T130" s="939"/>
      <c r="U130" s="899"/>
      <c r="V130" s="899"/>
      <c r="Y130" s="897"/>
    </row>
    <row r="131" spans="1:25" s="893" customFormat="1" ht="11.25" customHeight="1">
      <c r="A131" s="932"/>
      <c r="B131" s="1008">
        <v>45638</v>
      </c>
      <c r="C131" s="1008"/>
      <c r="D131" s="893" t="s">
        <v>218</v>
      </c>
      <c r="E131" s="893" t="s">
        <v>760</v>
      </c>
      <c r="F131" s="893" t="s">
        <v>219</v>
      </c>
      <c r="G131" s="1014" t="s">
        <v>1621</v>
      </c>
      <c r="H131" s="941" t="s">
        <v>1621</v>
      </c>
      <c r="I131" s="941" t="s">
        <v>1621</v>
      </c>
      <c r="J131" s="1015">
        <v>46022</v>
      </c>
      <c r="K131" s="896" t="s">
        <v>1621</v>
      </c>
      <c r="L131" s="939">
        <v>78</v>
      </c>
      <c r="M131" s="942" t="s">
        <v>1290</v>
      </c>
      <c r="O131" s="1014"/>
      <c r="P131" s="941"/>
      <c r="Q131" s="941"/>
      <c r="R131" s="1015"/>
      <c r="S131" s="896"/>
      <c r="T131" s="939"/>
      <c r="U131" s="899"/>
      <c r="V131" s="899"/>
      <c r="Y131" s="897"/>
    </row>
    <row r="132" spans="1:25" s="893" customFormat="1" ht="11.25" customHeight="1">
      <c r="A132" s="932"/>
      <c r="B132" s="1008">
        <v>45643</v>
      </c>
      <c r="C132" s="1008"/>
      <c r="D132" s="893" t="s">
        <v>1686</v>
      </c>
      <c r="E132" s="893" t="s">
        <v>1272</v>
      </c>
      <c r="F132" s="893" t="s">
        <v>237</v>
      </c>
      <c r="G132" s="1014">
        <v>6.91</v>
      </c>
      <c r="H132" s="941" t="s">
        <v>1621</v>
      </c>
      <c r="I132" s="941" t="s">
        <v>1621</v>
      </c>
      <c r="J132" s="1015">
        <v>45291</v>
      </c>
      <c r="K132" s="896" t="s">
        <v>47</v>
      </c>
      <c r="L132" s="939">
        <v>4.599335</v>
      </c>
      <c r="M132" s="942" t="s">
        <v>1290</v>
      </c>
      <c r="O132" s="1014"/>
      <c r="P132" s="941"/>
      <c r="Q132" s="941"/>
      <c r="R132" s="1015"/>
      <c r="S132" s="896"/>
      <c r="T132" s="939"/>
      <c r="U132" s="899"/>
      <c r="V132" s="899"/>
      <c r="Y132" s="897"/>
    </row>
    <row r="133" spans="1:25" s="893" customFormat="1" ht="11.25" customHeight="1">
      <c r="A133" s="932"/>
      <c r="B133" s="1008">
        <v>45645</v>
      </c>
      <c r="C133" s="1008"/>
      <c r="D133" s="893" t="s">
        <v>1769</v>
      </c>
      <c r="E133" s="893" t="s">
        <v>1770</v>
      </c>
      <c r="F133" s="893" t="s">
        <v>178</v>
      </c>
      <c r="G133" s="1014">
        <v>7.3</v>
      </c>
      <c r="H133" s="941">
        <v>9.6999999999999993</v>
      </c>
      <c r="I133" s="941">
        <v>48</v>
      </c>
      <c r="J133" s="1015">
        <v>45930</v>
      </c>
      <c r="K133" s="896" t="s">
        <v>47</v>
      </c>
      <c r="L133" s="939">
        <v>57.290999999999997</v>
      </c>
      <c r="M133" s="942" t="s">
        <v>1627</v>
      </c>
      <c r="O133" s="1014"/>
      <c r="P133" s="941"/>
      <c r="Q133" s="941"/>
      <c r="R133" s="1015"/>
      <c r="S133" s="896"/>
      <c r="T133" s="939"/>
      <c r="U133" s="899"/>
      <c r="V133" s="899"/>
      <c r="Y133" s="897"/>
    </row>
    <row r="134" spans="1:25" s="893" customFormat="1" ht="11.25" customHeight="1">
      <c r="A134" s="932"/>
      <c r="B134" s="1008">
        <v>45645</v>
      </c>
      <c r="C134" s="1008"/>
      <c r="D134" s="893" t="s">
        <v>227</v>
      </c>
      <c r="E134" s="893" t="s">
        <v>1097</v>
      </c>
      <c r="F134" s="893" t="s">
        <v>228</v>
      </c>
      <c r="G134" s="1014" t="s">
        <v>1621</v>
      </c>
      <c r="H134" s="941" t="s">
        <v>1621</v>
      </c>
      <c r="I134" s="941" t="s">
        <v>1621</v>
      </c>
      <c r="J134" s="1015">
        <v>45657</v>
      </c>
      <c r="K134" s="896" t="s">
        <v>47</v>
      </c>
      <c r="L134" s="939">
        <v>11.113</v>
      </c>
      <c r="M134" s="942" t="s">
        <v>1624</v>
      </c>
      <c r="O134" s="1014"/>
      <c r="P134" s="941"/>
      <c r="Q134" s="941"/>
      <c r="R134" s="1015"/>
      <c r="S134" s="896"/>
      <c r="T134" s="939"/>
      <c r="U134" s="899"/>
      <c r="V134" s="899"/>
      <c r="Y134" s="897"/>
    </row>
    <row r="135" spans="1:25" s="893" customFormat="1" ht="11.25" customHeight="1">
      <c r="A135" s="932"/>
      <c r="B135" s="1008">
        <v>45645</v>
      </c>
      <c r="C135" s="1008"/>
      <c r="D135" s="893" t="s">
        <v>1753</v>
      </c>
      <c r="E135" s="893" t="s">
        <v>1097</v>
      </c>
      <c r="F135" s="893" t="s">
        <v>228</v>
      </c>
      <c r="G135" s="1014" t="s">
        <v>1621</v>
      </c>
      <c r="H135" s="941" t="s">
        <v>1621</v>
      </c>
      <c r="I135" s="941" t="s">
        <v>1621</v>
      </c>
      <c r="J135" s="1015">
        <v>45657</v>
      </c>
      <c r="K135" s="896" t="s">
        <v>47</v>
      </c>
      <c r="L135" s="939">
        <v>323.60000000000002</v>
      </c>
      <c r="M135" s="942" t="s">
        <v>1624</v>
      </c>
      <c r="O135" s="1014"/>
      <c r="P135" s="941"/>
      <c r="Q135" s="941"/>
      <c r="R135" s="1015"/>
      <c r="S135" s="896"/>
      <c r="T135" s="939"/>
      <c r="U135" s="899"/>
      <c r="V135" s="899"/>
      <c r="Y135" s="897"/>
    </row>
    <row r="136" spans="1:25" s="893" customFormat="1" ht="11.25" customHeight="1">
      <c r="A136" s="932"/>
      <c r="B136" s="1008">
        <v>45645</v>
      </c>
      <c r="C136" s="1008"/>
      <c r="D136" s="893" t="s">
        <v>230</v>
      </c>
      <c r="E136" s="893" t="s">
        <v>1183</v>
      </c>
      <c r="F136" s="893" t="s">
        <v>147</v>
      </c>
      <c r="G136" s="1014">
        <v>8.8000000000000007</v>
      </c>
      <c r="H136" s="941">
        <v>9.8000000000000007</v>
      </c>
      <c r="I136" s="941">
        <v>56.54</v>
      </c>
      <c r="J136" s="1015">
        <v>46387</v>
      </c>
      <c r="K136" s="896" t="s">
        <v>47</v>
      </c>
      <c r="L136" s="939">
        <v>71.102999999999994</v>
      </c>
      <c r="M136" s="942" t="s">
        <v>1624</v>
      </c>
      <c r="O136" s="1014"/>
      <c r="P136" s="941"/>
      <c r="Q136" s="941"/>
      <c r="R136" s="1015"/>
      <c r="S136" s="896"/>
      <c r="T136" s="939"/>
      <c r="U136" s="899"/>
      <c r="V136" s="899"/>
      <c r="Y136" s="897"/>
    </row>
    <row r="137" spans="1:25" s="893" customFormat="1" ht="11.25" customHeight="1">
      <c r="A137" s="932"/>
      <c r="B137" s="1008">
        <v>45645</v>
      </c>
      <c r="C137" s="1008"/>
      <c r="D137" s="893" t="s">
        <v>1771</v>
      </c>
      <c r="E137" s="893" t="s">
        <v>1183</v>
      </c>
      <c r="F137" s="893" t="s">
        <v>147</v>
      </c>
      <c r="G137" s="1014">
        <v>8.6300000000000008</v>
      </c>
      <c r="H137" s="941">
        <v>9.8000000000000007</v>
      </c>
      <c r="I137" s="941">
        <v>52.76</v>
      </c>
      <c r="J137" s="1015">
        <v>46387</v>
      </c>
      <c r="K137" s="896" t="s">
        <v>47</v>
      </c>
      <c r="L137" s="939">
        <v>58.009</v>
      </c>
      <c r="M137" s="942" t="s">
        <v>1624</v>
      </c>
      <c r="O137" s="1014"/>
      <c r="P137" s="941"/>
      <c r="Q137" s="941"/>
      <c r="R137" s="1015"/>
      <c r="S137" s="896"/>
      <c r="T137" s="939"/>
      <c r="U137" s="899"/>
      <c r="V137" s="899"/>
      <c r="Y137" s="897"/>
    </row>
    <row r="138" spans="1:25" s="893" customFormat="1" ht="11.25" customHeight="1">
      <c r="A138" s="932"/>
      <c r="B138" s="1008">
        <v>45645</v>
      </c>
      <c r="C138" s="1008"/>
      <c r="D138" s="893" t="s">
        <v>231</v>
      </c>
      <c r="E138" s="893" t="s">
        <v>1183</v>
      </c>
      <c r="F138" s="893" t="s">
        <v>147</v>
      </c>
      <c r="G138" s="1014">
        <v>7.95</v>
      </c>
      <c r="H138" s="941">
        <v>9.8000000000000007</v>
      </c>
      <c r="I138" s="941">
        <v>54.17</v>
      </c>
      <c r="J138" s="1015">
        <v>46387</v>
      </c>
      <c r="K138" s="896" t="s">
        <v>47</v>
      </c>
      <c r="L138" s="939">
        <v>28.401</v>
      </c>
      <c r="M138" s="942" t="s">
        <v>1624</v>
      </c>
      <c r="O138" s="1014"/>
      <c r="P138" s="941"/>
      <c r="Q138" s="941"/>
      <c r="R138" s="1015"/>
      <c r="S138" s="896"/>
      <c r="T138" s="939"/>
      <c r="U138" s="899"/>
      <c r="V138" s="899"/>
      <c r="Y138" s="897"/>
    </row>
    <row r="139" spans="1:25" s="893" customFormat="1" ht="11.25" customHeight="1">
      <c r="A139" s="932"/>
      <c r="B139" s="1008">
        <v>45646</v>
      </c>
      <c r="C139" s="1008"/>
      <c r="D139" s="893" t="s">
        <v>31</v>
      </c>
      <c r="E139" s="893" t="s">
        <v>1262</v>
      </c>
      <c r="F139" s="893" t="s">
        <v>1565</v>
      </c>
      <c r="G139" s="1014">
        <v>7.32</v>
      </c>
      <c r="H139" s="941">
        <v>9.8000000000000007</v>
      </c>
      <c r="I139" s="941">
        <v>48.5</v>
      </c>
      <c r="J139" s="1015">
        <v>45107</v>
      </c>
      <c r="K139" s="896" t="s">
        <v>47</v>
      </c>
      <c r="L139" s="939">
        <v>18.2</v>
      </c>
      <c r="M139" s="942" t="s">
        <v>1624</v>
      </c>
      <c r="O139" s="1014"/>
      <c r="P139" s="941"/>
      <c r="Q139" s="941"/>
      <c r="R139" s="1015"/>
      <c r="S139" s="896"/>
      <c r="T139" s="939"/>
      <c r="U139" s="899"/>
      <c r="V139" s="899"/>
      <c r="Y139" s="897"/>
    </row>
    <row r="140" spans="1:25" s="893" customFormat="1" ht="11.25" customHeight="1">
      <c r="A140" s="932"/>
      <c r="B140" s="1008">
        <v>45656</v>
      </c>
      <c r="C140" s="1008"/>
      <c r="D140" s="893" t="s">
        <v>1772</v>
      </c>
      <c r="E140" s="893" t="s">
        <v>973</v>
      </c>
      <c r="F140" s="893" t="s">
        <v>159</v>
      </c>
      <c r="G140" s="1014">
        <v>7.41</v>
      </c>
      <c r="H140" s="941">
        <v>9.75</v>
      </c>
      <c r="I140" s="941">
        <v>52.64</v>
      </c>
      <c r="J140" s="1015">
        <v>46022</v>
      </c>
      <c r="K140" s="896" t="s">
        <v>47</v>
      </c>
      <c r="L140" s="939">
        <v>14.292999999999999</v>
      </c>
      <c r="M140" s="942" t="s">
        <v>1290</v>
      </c>
      <c r="O140" s="1014"/>
      <c r="P140" s="941"/>
      <c r="Q140" s="941"/>
      <c r="R140" s="1015"/>
      <c r="S140" s="896"/>
      <c r="T140" s="939"/>
      <c r="U140" s="899"/>
      <c r="V140" s="899"/>
      <c r="Y140" s="897"/>
    </row>
    <row r="141" spans="1:25" s="893" customFormat="1" ht="11.25" customHeight="1">
      <c r="A141" s="932"/>
      <c r="B141" s="1018"/>
      <c r="C141" s="1010"/>
      <c r="D141" s="964" t="s">
        <v>1773</v>
      </c>
      <c r="E141" s="964"/>
      <c r="F141" s="979"/>
      <c r="G141" s="946">
        <v>7.28</v>
      </c>
      <c r="H141" s="1019">
        <v>9.6999999999999993</v>
      </c>
      <c r="I141" s="980">
        <v>51.51</v>
      </c>
      <c r="J141" s="946"/>
      <c r="K141" s="946"/>
      <c r="L141" s="977">
        <v>1882.252369</v>
      </c>
      <c r="O141" s="1020"/>
      <c r="P141" s="1020"/>
      <c r="Q141" s="1020"/>
      <c r="R141" s="899"/>
      <c r="S141" s="899"/>
      <c r="T141" s="939"/>
      <c r="U141" s="899"/>
      <c r="V141" s="899"/>
      <c r="Y141" s="897"/>
    </row>
    <row r="142" spans="1:25" s="893" customFormat="1" ht="11.25" customHeight="1">
      <c r="A142" s="932"/>
      <c r="B142" s="1018"/>
      <c r="C142" s="1010"/>
      <c r="D142" s="964" t="s">
        <v>324</v>
      </c>
      <c r="E142" s="964"/>
      <c r="F142" s="979"/>
      <c r="G142" s="946">
        <v>26</v>
      </c>
      <c r="H142" s="1011">
        <v>23</v>
      </c>
      <c r="I142" s="984">
        <v>22</v>
      </c>
      <c r="J142" s="946"/>
      <c r="K142" s="946"/>
      <c r="L142" s="946">
        <v>38</v>
      </c>
      <c r="P142" s="897"/>
      <c r="Q142" s="899"/>
      <c r="R142" s="899"/>
      <c r="S142" s="899"/>
      <c r="T142" s="940"/>
      <c r="U142" s="899"/>
      <c r="V142" s="899"/>
      <c r="Y142" s="897"/>
    </row>
    <row r="143" spans="1:25" s="893" customFormat="1" ht="11.25" customHeight="1">
      <c r="A143" s="932"/>
      <c r="B143" s="1021" t="s">
        <v>1723</v>
      </c>
      <c r="C143" s="1010"/>
      <c r="D143" s="979" t="s">
        <v>1774</v>
      </c>
      <c r="E143" s="964"/>
      <c r="F143" s="979"/>
      <c r="G143" s="946">
        <v>7.26</v>
      </c>
      <c r="H143" s="980">
        <v>9.7200000000000006</v>
      </c>
      <c r="I143" s="980">
        <v>52.13</v>
      </c>
      <c r="J143" s="981"/>
      <c r="K143" s="980"/>
      <c r="L143" s="977">
        <v>3237.514126</v>
      </c>
      <c r="M143" s="1022"/>
      <c r="N143" s="984"/>
      <c r="O143" s="984"/>
      <c r="P143" s="963"/>
      <c r="Q143" s="899"/>
      <c r="R143" s="899"/>
      <c r="S143" s="899"/>
      <c r="T143" s="940"/>
      <c r="U143" s="899"/>
      <c r="V143" s="899"/>
      <c r="Y143" s="897"/>
    </row>
    <row r="144" spans="1:25" s="893" customFormat="1" ht="11.25" customHeight="1">
      <c r="A144" s="932"/>
      <c r="B144" s="1018"/>
      <c r="C144" s="1010"/>
      <c r="D144" s="979" t="s">
        <v>324</v>
      </c>
      <c r="E144" s="979"/>
      <c r="F144" s="1023"/>
      <c r="G144" s="946">
        <v>49</v>
      </c>
      <c r="H144" s="984">
        <v>44</v>
      </c>
      <c r="I144" s="981">
        <v>44</v>
      </c>
      <c r="J144" s="981"/>
      <c r="K144" s="981"/>
      <c r="L144" s="981">
        <v>76</v>
      </c>
      <c r="M144" s="1023"/>
      <c r="N144" s="1024"/>
      <c r="O144" s="1024"/>
      <c r="P144" s="1025"/>
      <c r="Q144" s="1023"/>
      <c r="R144" s="1023"/>
      <c r="S144" s="1026"/>
      <c r="T144" s="1023"/>
      <c r="U144" s="1023"/>
      <c r="V144" s="1023"/>
      <c r="W144" s="1023"/>
      <c r="Y144" s="897"/>
    </row>
    <row r="145" spans="1:46" s="893" customFormat="1" ht="11.25" customHeight="1">
      <c r="A145" s="932"/>
      <c r="B145" s="1018"/>
      <c r="C145" s="1010"/>
      <c r="D145" s="964"/>
      <c r="E145" s="979"/>
      <c r="F145" s="1023"/>
      <c r="G145" s="1023"/>
      <c r="H145" s="1023"/>
      <c r="I145" s="1023"/>
      <c r="J145" s="1023"/>
      <c r="K145" s="1023"/>
      <c r="L145" s="1023"/>
      <c r="M145" s="1023"/>
      <c r="N145" s="1024"/>
      <c r="O145" s="1024"/>
      <c r="P145" s="1025"/>
      <c r="Q145" s="1023"/>
      <c r="R145" s="1023"/>
      <c r="S145" s="1026"/>
      <c r="T145" s="1023"/>
      <c r="U145" s="1023"/>
      <c r="V145" s="1023"/>
      <c r="W145" s="1023"/>
      <c r="Y145" s="897"/>
    </row>
    <row r="146" spans="1:46" s="893" customFormat="1" ht="11.25" customHeight="1">
      <c r="A146" s="932"/>
      <c r="B146" s="1027" t="s">
        <v>1775</v>
      </c>
      <c r="C146" s="1023"/>
      <c r="D146" s="1023"/>
      <c r="E146" s="1028"/>
      <c r="F146" s="1028"/>
      <c r="G146" s="1028"/>
      <c r="H146" s="1023"/>
      <c r="I146" s="1028"/>
      <c r="J146" s="1023"/>
      <c r="K146" s="1028"/>
      <c r="L146" s="1023"/>
      <c r="M146" s="1023"/>
      <c r="N146" s="1024"/>
      <c r="O146" s="1024"/>
      <c r="P146" s="1025"/>
      <c r="Q146" s="1023"/>
      <c r="R146" s="1023"/>
      <c r="S146" s="1026"/>
      <c r="T146" s="1023"/>
      <c r="U146" s="1023"/>
      <c r="V146" s="1023"/>
      <c r="W146" s="1023"/>
      <c r="Y146" s="897"/>
    </row>
    <row r="147" spans="1:46" s="893" customFormat="1" ht="11.25" customHeight="1">
      <c r="A147" s="932"/>
      <c r="B147" s="1027" t="s">
        <v>1776</v>
      </c>
      <c r="C147" s="1023"/>
      <c r="D147" s="1023"/>
      <c r="E147" s="1023"/>
      <c r="F147" s="1023"/>
      <c r="G147" s="1028"/>
      <c r="H147" s="1023"/>
      <c r="I147" s="1028"/>
      <c r="J147" s="1023"/>
      <c r="K147" s="1028"/>
      <c r="L147" s="1023"/>
      <c r="M147" s="1023"/>
      <c r="N147" s="1024"/>
      <c r="O147" s="1024"/>
      <c r="P147" s="1025"/>
      <c r="Q147" s="1023"/>
      <c r="R147" s="1023"/>
      <c r="S147" s="1026"/>
      <c r="T147" s="1023"/>
      <c r="U147" s="1023"/>
      <c r="V147" s="1023"/>
      <c r="W147" s="1023"/>
      <c r="Y147" s="897"/>
    </row>
    <row r="148" spans="1:46" s="893" customFormat="1" ht="11.25" customHeight="1">
      <c r="A148" s="932"/>
      <c r="B148" s="1027" t="s">
        <v>1665</v>
      </c>
      <c r="C148" s="1023"/>
      <c r="D148" s="1023"/>
      <c r="E148" s="1023"/>
      <c r="F148" s="1023"/>
      <c r="G148" s="1028"/>
      <c r="H148" s="1023"/>
      <c r="I148" s="1028"/>
      <c r="J148" s="1023"/>
      <c r="K148" s="1028"/>
      <c r="L148" s="1023"/>
      <c r="M148" s="1023"/>
      <c r="N148" s="1024"/>
      <c r="O148" s="1024"/>
      <c r="P148" s="1025"/>
      <c r="Q148" s="1023"/>
      <c r="R148" s="1023"/>
      <c r="S148" s="1026"/>
      <c r="T148" s="1023"/>
      <c r="U148" s="1023"/>
      <c r="V148" s="1023"/>
      <c r="W148" s="1023"/>
      <c r="Y148" s="897"/>
    </row>
    <row r="149" spans="1:46" s="893" customFormat="1" ht="11.25" customHeight="1">
      <c r="A149" s="932"/>
      <c r="B149" s="869" t="s">
        <v>1666</v>
      </c>
      <c r="C149" s="1023"/>
      <c r="D149" s="1023"/>
      <c r="E149" s="1023"/>
      <c r="F149" s="1029"/>
      <c r="G149" s="1028"/>
      <c r="H149" s="1023"/>
      <c r="I149" s="1028"/>
      <c r="J149" s="1023"/>
      <c r="K149" s="1028"/>
      <c r="L149" s="1023"/>
      <c r="M149" s="1023"/>
      <c r="N149" s="1024"/>
      <c r="O149" s="1024"/>
      <c r="P149" s="1025"/>
      <c r="Q149" s="1023"/>
      <c r="R149" s="1023"/>
      <c r="S149" s="1026"/>
      <c r="T149" s="1023"/>
      <c r="U149" s="1023"/>
      <c r="V149" s="1023"/>
      <c r="W149" s="1023"/>
      <c r="Y149" s="897"/>
    </row>
    <row r="150" spans="1:46" s="893" customFormat="1" ht="11.25" customHeight="1">
      <c r="A150" s="932"/>
      <c r="B150" s="1030"/>
      <c r="C150" s="1023"/>
      <c r="D150" s="1023"/>
      <c r="E150" s="1023"/>
      <c r="F150" s="1023"/>
      <c r="G150" s="1028"/>
      <c r="H150" s="1023"/>
      <c r="I150" s="1028"/>
      <c r="J150" s="1023"/>
      <c r="K150" s="1028"/>
      <c r="L150" s="1023"/>
      <c r="M150" s="1023"/>
      <c r="N150" s="1024"/>
      <c r="O150" s="1024"/>
      <c r="P150" s="1025"/>
      <c r="Q150" s="1023"/>
      <c r="R150" s="1023"/>
      <c r="S150" s="1026"/>
      <c r="T150" s="1023"/>
      <c r="U150" s="1023"/>
      <c r="V150" s="1023"/>
      <c r="W150" s="1023"/>
      <c r="Y150" s="897"/>
    </row>
    <row r="151" spans="1:46" s="893" customFormat="1" ht="11.25" customHeight="1">
      <c r="A151" s="932"/>
      <c r="B151" s="1031" t="s">
        <v>1618</v>
      </c>
      <c r="C151" s="1032"/>
      <c r="D151" s="1032"/>
      <c r="E151" s="1032"/>
      <c r="F151" s="1032"/>
      <c r="G151" s="1032"/>
      <c r="H151" s="1032"/>
      <c r="I151" s="1032"/>
      <c r="J151" s="1032"/>
      <c r="K151" s="1032"/>
      <c r="L151" s="1032"/>
      <c r="M151" s="1032"/>
      <c r="N151" s="1024"/>
      <c r="O151" s="1024"/>
      <c r="P151" s="1025"/>
      <c r="Q151" s="1032"/>
      <c r="R151" s="1032"/>
      <c r="S151" s="1026"/>
      <c r="T151" s="1032"/>
      <c r="U151" s="1032"/>
      <c r="V151" s="1032"/>
      <c r="W151" s="1032"/>
      <c r="Y151" s="897"/>
    </row>
    <row r="152" spans="1:46" s="893" customFormat="1" ht="11.25" customHeight="1">
      <c r="A152" s="932"/>
      <c r="B152" s="945" t="s">
        <v>499</v>
      </c>
      <c r="C152" s="939" t="s">
        <v>1667</v>
      </c>
      <c r="D152" s="939"/>
      <c r="E152" s="939"/>
      <c r="F152" s="939"/>
      <c r="G152" s="959"/>
      <c r="H152" s="939"/>
      <c r="I152" s="959"/>
      <c r="J152" s="939"/>
      <c r="K152" s="959"/>
      <c r="L152" s="939"/>
      <c r="M152" s="939"/>
      <c r="N152" s="898"/>
      <c r="O152" s="898"/>
      <c r="P152" s="899"/>
      <c r="Q152" s="939"/>
      <c r="R152" s="939"/>
      <c r="S152" s="940"/>
      <c r="T152" s="939"/>
      <c r="U152" s="939"/>
      <c r="V152" s="939"/>
      <c r="W152" s="1023"/>
      <c r="Y152" s="897"/>
    </row>
    <row r="153" spans="1:46" s="893" customFormat="1" ht="11.25" customHeight="1">
      <c r="A153" s="932"/>
      <c r="B153" s="945" t="s">
        <v>1290</v>
      </c>
      <c r="C153" s="939" t="s">
        <v>1668</v>
      </c>
      <c r="D153" s="939"/>
      <c r="E153" s="939"/>
      <c r="F153" s="939"/>
      <c r="G153" s="939"/>
      <c r="H153" s="939"/>
      <c r="I153" s="939"/>
      <c r="J153" s="939"/>
      <c r="K153" s="939"/>
      <c r="L153" s="939"/>
      <c r="M153" s="939"/>
      <c r="N153" s="898"/>
      <c r="O153" s="898"/>
      <c r="P153" s="899"/>
      <c r="Q153" s="939"/>
      <c r="R153" s="939"/>
      <c r="S153" s="940"/>
      <c r="T153" s="939"/>
      <c r="U153" s="939"/>
      <c r="V153" s="939"/>
      <c r="W153" s="1023"/>
      <c r="Y153" s="897"/>
    </row>
    <row r="154" spans="1:46" ht="11.25" customHeight="1">
      <c r="B154" s="945" t="s">
        <v>138</v>
      </c>
      <c r="C154" s="939" t="s">
        <v>1669</v>
      </c>
      <c r="D154" s="939"/>
      <c r="E154" s="939"/>
      <c r="F154" s="939"/>
      <c r="G154" s="959"/>
      <c r="H154" s="939"/>
      <c r="I154" s="959"/>
      <c r="J154" s="939"/>
      <c r="K154" s="959"/>
      <c r="L154" s="939"/>
      <c r="M154" s="939"/>
      <c r="Q154" s="939"/>
      <c r="R154" s="939"/>
      <c r="T154" s="939"/>
      <c r="U154" s="939"/>
      <c r="V154" s="939"/>
      <c r="W154" s="1023"/>
    </row>
    <row r="155" spans="1:46" ht="11.25" customHeight="1">
      <c r="B155" s="945" t="s">
        <v>1636</v>
      </c>
      <c r="C155" s="939" t="s">
        <v>1670</v>
      </c>
      <c r="D155" s="939"/>
      <c r="E155" s="939"/>
      <c r="F155" s="939"/>
      <c r="G155" s="959"/>
      <c r="H155" s="939"/>
      <c r="I155" s="959"/>
      <c r="J155" s="939"/>
      <c r="K155" s="959"/>
      <c r="L155" s="939"/>
      <c r="M155" s="939"/>
      <c r="Q155" s="939"/>
      <c r="R155" s="939"/>
      <c r="T155" s="939"/>
      <c r="U155" s="939"/>
      <c r="V155" s="939"/>
      <c r="W155" s="1023"/>
    </row>
    <row r="156" spans="1:46" ht="11.25" customHeight="1">
      <c r="B156" s="945" t="s">
        <v>1671</v>
      </c>
      <c r="C156" s="939" t="s">
        <v>1672</v>
      </c>
      <c r="D156" s="939"/>
      <c r="E156" s="939"/>
      <c r="F156" s="939"/>
      <c r="G156" s="959"/>
      <c r="H156" s="939"/>
      <c r="I156" s="959"/>
      <c r="J156" s="939"/>
      <c r="K156" s="959"/>
      <c r="L156" s="939"/>
      <c r="M156" s="939"/>
      <c r="Q156" s="939"/>
      <c r="R156" s="939"/>
      <c r="T156" s="939"/>
      <c r="U156" s="939"/>
      <c r="V156" s="939"/>
      <c r="W156" s="1023"/>
    </row>
    <row r="157" spans="1:46" ht="11.25" customHeight="1">
      <c r="B157" s="945" t="s">
        <v>1119</v>
      </c>
      <c r="C157" s="939" t="s">
        <v>1673</v>
      </c>
      <c r="D157" s="939"/>
      <c r="E157" s="939"/>
      <c r="F157" s="939"/>
      <c r="G157" s="959"/>
      <c r="H157" s="939"/>
      <c r="I157" s="959"/>
      <c r="J157" s="939"/>
      <c r="K157" s="959"/>
      <c r="L157" s="939"/>
      <c r="M157" s="939"/>
      <c r="Q157" s="939"/>
      <c r="R157" s="939"/>
      <c r="T157" s="939"/>
      <c r="U157" s="939"/>
      <c r="V157" s="939"/>
      <c r="W157" s="1023"/>
    </row>
    <row r="158" spans="1:46" ht="11.25" customHeight="1">
      <c r="B158" s="945" t="s">
        <v>1674</v>
      </c>
      <c r="C158" s="939" t="s">
        <v>1675</v>
      </c>
      <c r="D158" s="939"/>
      <c r="E158" s="939"/>
      <c r="F158" s="939"/>
      <c r="G158" s="959"/>
      <c r="H158" s="939"/>
      <c r="I158" s="959"/>
      <c r="J158" s="939"/>
      <c r="K158" s="959"/>
      <c r="L158" s="939"/>
      <c r="M158" s="939"/>
      <c r="Q158" s="939"/>
      <c r="R158" s="939"/>
      <c r="T158" s="939"/>
      <c r="U158" s="939"/>
      <c r="V158" s="939"/>
      <c r="W158" s="1023"/>
    </row>
    <row r="159" spans="1:46" s="1033" customFormat="1" ht="11.15" customHeight="1">
      <c r="B159" s="1034" t="s">
        <v>1624</v>
      </c>
      <c r="C159" s="1429" t="s">
        <v>1676</v>
      </c>
      <c r="D159" s="1429"/>
      <c r="E159" s="1429"/>
      <c r="F159" s="1429"/>
      <c r="G159" s="1430"/>
      <c r="H159" s="1429"/>
      <c r="I159" s="1430"/>
      <c r="J159" s="1429"/>
      <c r="K159" s="1430"/>
      <c r="L159" s="1429"/>
      <c r="M159" s="1429"/>
      <c r="N159" s="1036"/>
      <c r="O159" s="1036"/>
      <c r="P159" s="1037"/>
      <c r="Q159" s="1035"/>
      <c r="R159" s="1035"/>
      <c r="S159" s="1037"/>
      <c r="T159" s="1038"/>
      <c r="U159" s="1035"/>
      <c r="V159" s="1035"/>
      <c r="W159" s="1039"/>
      <c r="X159" s="1040"/>
      <c r="Y159" s="1027"/>
      <c r="Z159" s="1040"/>
      <c r="AA159" s="1040"/>
      <c r="AB159" s="1040"/>
      <c r="AC159" s="1040"/>
      <c r="AD159" s="1040"/>
      <c r="AE159" s="1040"/>
      <c r="AF159" s="1040"/>
      <c r="AG159" s="1040"/>
      <c r="AH159" s="1040"/>
      <c r="AI159" s="1040"/>
      <c r="AJ159" s="1040"/>
      <c r="AK159" s="1040"/>
      <c r="AL159" s="1040"/>
      <c r="AM159" s="1040"/>
      <c r="AN159" s="1040"/>
      <c r="AO159" s="1040"/>
      <c r="AP159" s="1040"/>
      <c r="AQ159" s="1040"/>
      <c r="AR159" s="1040"/>
      <c r="AS159" s="1040"/>
      <c r="AT159" s="1040"/>
    </row>
    <row r="160" spans="1:46" s="1033" customFormat="1" ht="11.15" customHeight="1">
      <c r="B160" s="1034" t="s">
        <v>1628</v>
      </c>
      <c r="C160" s="1429" t="s">
        <v>1677</v>
      </c>
      <c r="D160" s="1429"/>
      <c r="E160" s="1429"/>
      <c r="F160" s="1429"/>
      <c r="G160" s="1430"/>
      <c r="H160" s="1429"/>
      <c r="I160" s="1430"/>
      <c r="J160" s="1429"/>
      <c r="K160" s="1430"/>
      <c r="L160" s="1429"/>
      <c r="M160" s="1429"/>
      <c r="N160" s="1036"/>
      <c r="O160" s="1036"/>
      <c r="P160" s="1037"/>
      <c r="Q160" s="1035"/>
      <c r="R160" s="1035"/>
      <c r="S160" s="1037"/>
      <c r="T160" s="1038"/>
      <c r="U160" s="1035"/>
      <c r="V160" s="1035"/>
      <c r="W160" s="1039"/>
      <c r="X160" s="1040"/>
      <c r="Y160" s="1027"/>
      <c r="Z160" s="1040"/>
      <c r="AA160" s="1040"/>
      <c r="AB160" s="1040"/>
      <c r="AC160" s="1040"/>
      <c r="AD160" s="1040"/>
      <c r="AE160" s="1040"/>
      <c r="AF160" s="1040"/>
      <c r="AG160" s="1040"/>
      <c r="AH160" s="1040"/>
      <c r="AI160" s="1040"/>
      <c r="AJ160" s="1040"/>
      <c r="AK160" s="1040"/>
      <c r="AL160" s="1040"/>
      <c r="AM160" s="1040"/>
      <c r="AN160" s="1040"/>
      <c r="AO160" s="1040"/>
      <c r="AP160" s="1040"/>
      <c r="AQ160" s="1040"/>
      <c r="AR160" s="1040"/>
      <c r="AS160" s="1040"/>
      <c r="AT160" s="1040"/>
    </row>
    <row r="161" spans="1:25" ht="11.25" customHeight="1">
      <c r="B161" s="897"/>
      <c r="C161" s="939"/>
      <c r="D161" s="893"/>
      <c r="E161" s="893"/>
      <c r="F161" s="893"/>
      <c r="G161" s="893"/>
      <c r="H161" s="893"/>
      <c r="I161" s="893"/>
      <c r="J161" s="893"/>
      <c r="K161" s="893"/>
      <c r="L161" s="893"/>
      <c r="M161" s="893"/>
      <c r="W161" s="1030"/>
    </row>
    <row r="162" spans="1:25" ht="11.25" customHeight="1">
      <c r="B162" s="899">
        <v>1</v>
      </c>
      <c r="C162" s="893" t="s">
        <v>1679</v>
      </c>
      <c r="D162" s="893"/>
      <c r="E162" s="893"/>
      <c r="F162" s="893"/>
      <c r="G162" s="893"/>
      <c r="H162" s="893"/>
      <c r="I162" s="893"/>
      <c r="J162" s="893"/>
      <c r="K162" s="893"/>
      <c r="L162" s="893"/>
      <c r="M162" s="893"/>
      <c r="W162" s="1030"/>
    </row>
    <row r="163" spans="1:25" ht="11.25" customHeight="1">
      <c r="B163" s="899">
        <v>2</v>
      </c>
      <c r="C163" s="893" t="s">
        <v>1777</v>
      </c>
      <c r="D163" s="893"/>
      <c r="E163" s="893"/>
      <c r="F163" s="893"/>
      <c r="G163" s="893"/>
      <c r="H163" s="893"/>
      <c r="I163" s="893"/>
      <c r="J163" s="893"/>
      <c r="K163" s="893"/>
      <c r="L163" s="893"/>
      <c r="M163" s="893"/>
      <c r="W163" s="1030"/>
    </row>
    <row r="164" spans="1:25" ht="11.25" customHeight="1">
      <c r="B164" s="899">
        <v>3</v>
      </c>
      <c r="C164" s="893" t="s">
        <v>1778</v>
      </c>
      <c r="D164" s="893"/>
      <c r="E164" s="893"/>
      <c r="F164" s="893"/>
      <c r="G164" s="893"/>
      <c r="H164" s="893"/>
      <c r="I164" s="893"/>
      <c r="J164" s="893"/>
      <c r="K164" s="893"/>
      <c r="L164" s="893"/>
      <c r="M164" s="893"/>
      <c r="W164" s="1030"/>
    </row>
    <row r="165" spans="1:25" ht="11.25" customHeight="1">
      <c r="B165" s="899">
        <v>4</v>
      </c>
      <c r="C165" s="893" t="s">
        <v>1681</v>
      </c>
      <c r="D165" s="893"/>
      <c r="E165" s="893"/>
      <c r="F165" s="893"/>
      <c r="G165" s="893"/>
      <c r="H165" s="893"/>
      <c r="I165" s="893"/>
      <c r="J165" s="893"/>
      <c r="K165" s="893"/>
      <c r="L165" s="893"/>
      <c r="M165" s="893"/>
      <c r="W165" s="1030"/>
    </row>
    <row r="166" spans="1:25" ht="11.25" customHeight="1">
      <c r="B166" s="899">
        <v>5</v>
      </c>
      <c r="C166" s="893" t="s">
        <v>1779</v>
      </c>
      <c r="D166" s="893"/>
      <c r="E166" s="893"/>
      <c r="F166" s="893"/>
      <c r="G166" s="893"/>
      <c r="H166" s="893"/>
      <c r="I166" s="893"/>
      <c r="J166" s="893"/>
      <c r="K166" s="893"/>
      <c r="L166" s="893"/>
      <c r="M166" s="893"/>
      <c r="W166" s="1030"/>
    </row>
    <row r="167" spans="1:25" ht="11.25" customHeight="1">
      <c r="B167" s="899">
        <v>6</v>
      </c>
      <c r="C167" s="1040" t="s">
        <v>1780</v>
      </c>
      <c r="D167" s="893"/>
      <c r="E167" s="893"/>
      <c r="F167" s="893"/>
      <c r="G167" s="893"/>
      <c r="H167" s="893"/>
      <c r="I167" s="893"/>
      <c r="J167" s="893"/>
      <c r="K167" s="893"/>
      <c r="L167" s="893"/>
      <c r="M167" s="893"/>
      <c r="W167" s="1030"/>
    </row>
    <row r="168" spans="1:25" ht="11.25" customHeight="1">
      <c r="B168" s="899">
        <v>7</v>
      </c>
      <c r="C168" s="1040" t="s">
        <v>1781</v>
      </c>
      <c r="D168" s="893"/>
      <c r="E168" s="893"/>
      <c r="F168" s="893"/>
      <c r="G168" s="893"/>
      <c r="H168" s="893"/>
      <c r="I168" s="893"/>
      <c r="J168" s="893"/>
      <c r="K168" s="893"/>
      <c r="L168" s="893"/>
      <c r="M168" s="893"/>
      <c r="W168" s="1030"/>
    </row>
    <row r="169" spans="1:25" ht="11.25" customHeight="1">
      <c r="B169" s="899">
        <v>8</v>
      </c>
      <c r="C169" s="893" t="s">
        <v>1782</v>
      </c>
      <c r="D169" s="893"/>
      <c r="E169" s="893"/>
      <c r="F169" s="893"/>
      <c r="G169" s="893"/>
      <c r="H169" s="893"/>
      <c r="I169" s="893"/>
      <c r="J169" s="893"/>
      <c r="K169" s="893"/>
      <c r="L169" s="893"/>
      <c r="M169" s="893"/>
      <c r="W169" s="1030"/>
    </row>
    <row r="170" spans="1:25" s="893" customFormat="1" ht="11.25" customHeight="1">
      <c r="A170" s="932"/>
      <c r="B170" s="899">
        <v>9</v>
      </c>
      <c r="C170" s="893" t="s">
        <v>1680</v>
      </c>
      <c r="N170" s="898"/>
      <c r="O170" s="898"/>
      <c r="P170" s="899"/>
      <c r="S170" s="940"/>
      <c r="W170" s="1030"/>
      <c r="Y170" s="897"/>
    </row>
    <row r="171" spans="1:25" s="893" customFormat="1" ht="11.25" customHeight="1">
      <c r="A171" s="932"/>
      <c r="B171" s="899">
        <v>10</v>
      </c>
      <c r="C171" s="893" t="s">
        <v>1783</v>
      </c>
      <c r="N171" s="898"/>
      <c r="O171" s="898"/>
      <c r="P171" s="899"/>
      <c r="S171" s="940"/>
      <c r="W171" s="1030"/>
      <c r="Y171" s="897"/>
    </row>
    <row r="172" spans="1:25" s="893" customFormat="1" ht="11.25" customHeight="1">
      <c r="A172" s="932"/>
      <c r="B172" s="899">
        <v>11</v>
      </c>
      <c r="C172" s="945" t="s">
        <v>1784</v>
      </c>
      <c r="N172" s="898"/>
      <c r="O172" s="898"/>
      <c r="P172" s="899"/>
      <c r="S172" s="940"/>
      <c r="W172" s="1030"/>
      <c r="Y172" s="897"/>
    </row>
    <row r="173" spans="1:25" s="893" customFormat="1" ht="11.25" customHeight="1">
      <c r="A173" s="932"/>
      <c r="B173" s="899">
        <v>12</v>
      </c>
      <c r="C173" s="945" t="s">
        <v>1785</v>
      </c>
      <c r="N173" s="898"/>
      <c r="O173" s="898"/>
      <c r="P173" s="899"/>
      <c r="S173" s="940"/>
      <c r="W173" s="1030"/>
      <c r="Y173" s="897"/>
    </row>
    <row r="174" spans="1:25" s="893" customFormat="1" ht="11.25" customHeight="1">
      <c r="A174" s="932"/>
      <c r="B174" s="899">
        <v>13</v>
      </c>
      <c r="C174" s="945" t="s">
        <v>1786</v>
      </c>
      <c r="N174" s="898"/>
      <c r="O174" s="898"/>
      <c r="P174" s="899"/>
      <c r="S174" s="940"/>
      <c r="W174" s="1030"/>
      <c r="Y174" s="897"/>
    </row>
    <row r="175" spans="1:25" s="893" customFormat="1" ht="11.25" customHeight="1">
      <c r="A175" s="932"/>
      <c r="B175" s="899">
        <v>14</v>
      </c>
      <c r="C175" s="945" t="s">
        <v>1787</v>
      </c>
      <c r="N175" s="898"/>
      <c r="O175" s="898"/>
      <c r="P175" s="899"/>
      <c r="S175" s="940"/>
      <c r="W175" s="1030"/>
      <c r="Y175" s="897"/>
    </row>
    <row r="176" spans="1:25" s="893" customFormat="1" ht="11.25" customHeight="1">
      <c r="A176" s="932"/>
      <c r="B176" s="899">
        <v>15</v>
      </c>
      <c r="C176" s="893" t="s">
        <v>1788</v>
      </c>
      <c r="N176" s="898"/>
      <c r="O176" s="898"/>
      <c r="P176" s="899"/>
      <c r="S176" s="940"/>
      <c r="W176" s="1030"/>
      <c r="Y176" s="897"/>
    </row>
    <row r="177" spans="1:25" s="893" customFormat="1" ht="11.25" customHeight="1">
      <c r="A177" s="932"/>
      <c r="B177" s="899">
        <v>16</v>
      </c>
      <c r="C177" s="945" t="s">
        <v>1789</v>
      </c>
      <c r="N177" s="898"/>
      <c r="O177" s="898"/>
      <c r="P177" s="899"/>
      <c r="S177" s="940"/>
      <c r="W177" s="1030"/>
      <c r="Y177" s="897"/>
    </row>
    <row r="178" spans="1:25" s="893" customFormat="1" ht="11.25" customHeight="1">
      <c r="A178" s="932"/>
      <c r="B178" s="899">
        <v>17</v>
      </c>
      <c r="C178" s="945" t="s">
        <v>1790</v>
      </c>
      <c r="N178" s="898"/>
      <c r="O178" s="898"/>
      <c r="P178" s="899"/>
      <c r="S178" s="940"/>
      <c r="W178" s="1030"/>
      <c r="Y178" s="897"/>
    </row>
    <row r="179" spans="1:25" s="893" customFormat="1" ht="11.25" customHeight="1">
      <c r="A179" s="932"/>
      <c r="B179" s="899">
        <v>18</v>
      </c>
      <c r="C179" s="945" t="s">
        <v>1791</v>
      </c>
      <c r="N179" s="898"/>
      <c r="O179" s="898"/>
      <c r="P179" s="899"/>
      <c r="S179" s="940"/>
      <c r="W179" s="1030"/>
      <c r="Y179" s="897"/>
    </row>
    <row r="180" spans="1:25" s="893" customFormat="1" ht="11.25" customHeight="1">
      <c r="A180" s="932"/>
      <c r="B180" s="899">
        <v>19</v>
      </c>
      <c r="C180" s="939" t="s">
        <v>1792</v>
      </c>
      <c r="N180" s="898"/>
      <c r="O180" s="898"/>
      <c r="P180" s="899"/>
      <c r="S180" s="940"/>
      <c r="W180" s="1030"/>
      <c r="Y180" s="897"/>
    </row>
    <row r="181" spans="1:25" s="893" customFormat="1" ht="11.25" customHeight="1">
      <c r="A181" s="989"/>
      <c r="B181" s="899">
        <v>20</v>
      </c>
      <c r="C181" s="939" t="s">
        <v>1793</v>
      </c>
      <c r="N181" s="898"/>
      <c r="O181" s="898"/>
      <c r="P181" s="899"/>
      <c r="S181" s="940"/>
      <c r="W181" s="1030"/>
      <c r="Y181" s="897"/>
    </row>
    <row r="182" spans="1:25" s="893" customFormat="1" ht="11.25" customHeight="1">
      <c r="A182" s="989"/>
      <c r="B182" s="989">
        <v>21</v>
      </c>
      <c r="C182" s="939" t="s">
        <v>1794</v>
      </c>
      <c r="N182" s="898"/>
      <c r="O182" s="898"/>
      <c r="P182" s="899"/>
      <c r="S182" s="940"/>
      <c r="W182" s="1030"/>
      <c r="Y182" s="897"/>
    </row>
    <row r="183" spans="1:25" s="893" customFormat="1" ht="11.25" customHeight="1">
      <c r="A183" s="989"/>
      <c r="B183" s="989">
        <v>22</v>
      </c>
      <c r="C183" s="939" t="s">
        <v>1795</v>
      </c>
      <c r="N183" s="898"/>
      <c r="O183" s="898"/>
      <c r="P183" s="899"/>
      <c r="S183" s="940"/>
      <c r="W183" s="1030"/>
      <c r="Y183" s="897"/>
    </row>
    <row r="184" spans="1:25" s="893" customFormat="1" ht="11.25" customHeight="1">
      <c r="A184" s="989"/>
      <c r="B184" s="989">
        <v>23</v>
      </c>
      <c r="C184" s="939" t="s">
        <v>1796</v>
      </c>
      <c r="N184" s="898"/>
      <c r="O184" s="898"/>
      <c r="P184" s="899"/>
      <c r="S184" s="940"/>
      <c r="W184" s="1030"/>
      <c r="Y184" s="897"/>
    </row>
    <row r="185" spans="1:25" s="893" customFormat="1" ht="11.25" customHeight="1">
      <c r="A185" s="899"/>
      <c r="B185" s="899">
        <v>24</v>
      </c>
      <c r="C185" s="1040" t="s">
        <v>1682</v>
      </c>
      <c r="N185" s="898"/>
      <c r="O185" s="898"/>
      <c r="P185" s="899"/>
      <c r="S185" s="940"/>
      <c r="W185" s="1030"/>
      <c r="Y185" s="897"/>
    </row>
    <row r="186" spans="1:25" s="893" customFormat="1" ht="11.25" customHeight="1">
      <c r="A186" s="899"/>
      <c r="B186" s="899">
        <v>25</v>
      </c>
      <c r="C186" s="899" t="s">
        <v>1797</v>
      </c>
      <c r="N186" s="898"/>
      <c r="O186" s="898"/>
      <c r="P186" s="899"/>
      <c r="S186" s="940"/>
      <c r="W186" s="1030"/>
      <c r="Y186" s="897"/>
    </row>
    <row r="187" spans="1:25" s="893" customFormat="1" ht="11.25" customHeight="1">
      <c r="A187" s="899"/>
      <c r="B187" s="899">
        <v>26</v>
      </c>
      <c r="C187" s="1017" t="s">
        <v>1798</v>
      </c>
      <c r="N187" s="898"/>
      <c r="O187" s="898"/>
      <c r="P187" s="899"/>
      <c r="S187" s="940"/>
      <c r="W187" s="1030"/>
      <c r="Y187" s="897"/>
    </row>
    <row r="188" spans="1:25" s="893" customFormat="1" ht="11.25" customHeight="1">
      <c r="A188" s="899"/>
      <c r="B188" s="899">
        <v>27</v>
      </c>
      <c r="C188" s="1017" t="s">
        <v>1799</v>
      </c>
      <c r="D188" s="1017"/>
      <c r="N188" s="898"/>
      <c r="O188" s="898"/>
      <c r="P188" s="899"/>
      <c r="S188" s="940"/>
      <c r="W188" s="1030"/>
      <c r="Y188" s="897"/>
    </row>
    <row r="189" spans="1:25" s="893" customFormat="1" ht="11.25" customHeight="1">
      <c r="A189" s="899"/>
      <c r="B189" s="899">
        <v>28</v>
      </c>
      <c r="C189" s="893" t="s">
        <v>1800</v>
      </c>
      <c r="N189" s="898"/>
      <c r="O189" s="898"/>
      <c r="P189" s="899"/>
      <c r="S189" s="940"/>
      <c r="W189" s="1030"/>
      <c r="Y189" s="897"/>
    </row>
    <row r="190" spans="1:25" s="893" customFormat="1" ht="11.25" customHeight="1">
      <c r="A190" s="899"/>
      <c r="B190" s="899">
        <v>29</v>
      </c>
      <c r="C190" s="893" t="s">
        <v>1801</v>
      </c>
      <c r="N190" s="898"/>
      <c r="O190" s="898"/>
      <c r="P190" s="899"/>
      <c r="S190" s="940"/>
      <c r="W190" s="1030"/>
      <c r="Y190" s="897"/>
    </row>
    <row r="191" spans="1:25" s="893" customFormat="1" ht="11.25" customHeight="1">
      <c r="A191" s="899"/>
      <c r="B191" s="899">
        <v>30</v>
      </c>
      <c r="C191" s="893" t="s">
        <v>1802</v>
      </c>
      <c r="N191" s="898"/>
      <c r="O191" s="898"/>
      <c r="P191" s="899"/>
      <c r="S191" s="940"/>
      <c r="W191" s="1030"/>
      <c r="Y191" s="897"/>
    </row>
    <row r="192" spans="1:25" s="893" customFormat="1" ht="11.25" customHeight="1">
      <c r="A192" s="899"/>
      <c r="B192" s="899">
        <v>31</v>
      </c>
      <c r="C192" s="1017" t="s">
        <v>1803</v>
      </c>
      <c r="N192" s="898"/>
      <c r="O192" s="898"/>
      <c r="P192" s="899"/>
      <c r="S192" s="940"/>
      <c r="W192" s="1030"/>
      <c r="Y192" s="897"/>
    </row>
    <row r="193" spans="1:46" s="893" customFormat="1" ht="11.25" customHeight="1">
      <c r="A193" s="989"/>
      <c r="B193" s="989">
        <v>32</v>
      </c>
      <c r="C193" s="897" t="s">
        <v>1804</v>
      </c>
      <c r="N193" s="898"/>
      <c r="O193" s="898"/>
      <c r="P193" s="899"/>
      <c r="S193" s="940"/>
      <c r="W193" s="1030"/>
      <c r="Y193" s="897"/>
    </row>
    <row r="194" spans="1:46" s="893" customFormat="1" ht="11.25" customHeight="1">
      <c r="A194" s="932"/>
      <c r="B194" s="899"/>
      <c r="N194" s="898"/>
      <c r="O194" s="898"/>
      <c r="P194" s="899"/>
      <c r="S194" s="940"/>
      <c r="W194" s="1030"/>
      <c r="Y194" s="897"/>
    </row>
    <row r="195" spans="1:46" s="893" customFormat="1" ht="11.25" customHeight="1">
      <c r="A195" s="932"/>
      <c r="B195" s="899"/>
      <c r="N195" s="898"/>
      <c r="O195" s="898"/>
      <c r="P195" s="899"/>
      <c r="S195" s="940"/>
      <c r="W195" s="1030"/>
      <c r="Y195" s="897"/>
    </row>
    <row r="196" spans="1:46" s="893" customFormat="1" ht="11.25" customHeight="1">
      <c r="A196" s="932"/>
      <c r="B196" s="899"/>
      <c r="N196" s="898"/>
      <c r="O196" s="898"/>
      <c r="P196" s="899"/>
      <c r="S196" s="940"/>
      <c r="W196" s="1030"/>
      <c r="Y196" s="897"/>
    </row>
    <row r="197" spans="1:46" s="893" customFormat="1" ht="11.25" customHeight="1">
      <c r="A197" s="932"/>
      <c r="B197" s="899"/>
      <c r="N197" s="898"/>
      <c r="O197" s="898"/>
      <c r="P197" s="899"/>
      <c r="S197" s="940"/>
      <c r="W197" s="1030"/>
      <c r="Y197" s="897"/>
    </row>
    <row r="198" spans="1:46" s="893" customFormat="1" ht="11.25" customHeight="1">
      <c r="A198" s="932"/>
      <c r="B198" s="899"/>
      <c r="C198" s="939"/>
      <c r="D198" s="1041"/>
      <c r="E198" s="1041"/>
      <c r="F198" s="1041"/>
      <c r="G198" s="1041"/>
      <c r="H198" s="1041"/>
      <c r="I198" s="1041"/>
      <c r="J198" s="1041"/>
      <c r="K198" s="1041"/>
      <c r="L198" s="1041"/>
      <c r="M198" s="1041"/>
      <c r="N198" s="1042"/>
      <c r="O198" s="1042"/>
      <c r="P198" s="1043"/>
      <c r="Q198" s="1041"/>
      <c r="R198" s="1041"/>
      <c r="S198" s="1043"/>
      <c r="W198" s="1030"/>
      <c r="Y198" s="897"/>
    </row>
    <row r="199" spans="1:46" s="893" customFormat="1" ht="11.25" customHeight="1">
      <c r="A199" s="932"/>
      <c r="B199" s="899"/>
      <c r="D199" s="939"/>
      <c r="E199" s="939"/>
      <c r="F199" s="939"/>
      <c r="G199" s="939"/>
      <c r="H199" s="939"/>
      <c r="I199" s="939"/>
      <c r="J199" s="939"/>
      <c r="K199" s="939"/>
      <c r="L199" s="939"/>
      <c r="M199" s="939"/>
      <c r="N199" s="898"/>
      <c r="O199" s="898"/>
      <c r="P199" s="899"/>
      <c r="Q199" s="939"/>
      <c r="R199" s="939"/>
      <c r="S199" s="940"/>
      <c r="T199" s="1044"/>
      <c r="U199" s="1041"/>
      <c r="W199" s="1030"/>
      <c r="Y199" s="897"/>
    </row>
    <row r="200" spans="1:46" s="893" customFormat="1" ht="11.25" customHeight="1">
      <c r="A200" s="932"/>
      <c r="B200" s="899"/>
      <c r="D200" s="939"/>
      <c r="E200" s="939"/>
      <c r="F200" s="939"/>
      <c r="G200" s="939"/>
      <c r="H200" s="939"/>
      <c r="I200" s="939"/>
      <c r="J200" s="939"/>
      <c r="K200" s="939"/>
      <c r="L200" s="939"/>
      <c r="M200" s="939"/>
      <c r="N200" s="898"/>
      <c r="O200" s="898"/>
      <c r="P200" s="899"/>
      <c r="Q200" s="939"/>
      <c r="R200" s="939"/>
      <c r="S200" s="940"/>
      <c r="Y200" s="897"/>
    </row>
    <row r="201" spans="1:46" s="893" customFormat="1" ht="11.25" customHeight="1">
      <c r="A201" s="932"/>
      <c r="B201" s="899"/>
      <c r="D201" s="939"/>
      <c r="E201" s="939"/>
      <c r="F201" s="939"/>
      <c r="G201" s="939"/>
      <c r="H201" s="939"/>
      <c r="I201" s="939"/>
      <c r="J201" s="939"/>
      <c r="K201" s="939"/>
      <c r="L201" s="939"/>
      <c r="M201" s="939"/>
      <c r="N201" s="898"/>
      <c r="O201" s="898"/>
      <c r="P201" s="899"/>
      <c r="Q201" s="939"/>
      <c r="R201" s="939"/>
      <c r="S201" s="940"/>
      <c r="Y201" s="897"/>
    </row>
    <row r="202" spans="1:46" ht="11.25" customHeight="1">
      <c r="B202" s="899"/>
      <c r="C202" s="939"/>
      <c r="D202" s="939"/>
      <c r="E202" s="939"/>
      <c r="F202" s="939"/>
      <c r="G202" s="939"/>
      <c r="H202" s="939"/>
      <c r="I202" s="939"/>
      <c r="J202" s="939"/>
      <c r="K202" s="939"/>
      <c r="L202" s="939"/>
      <c r="M202" s="939"/>
      <c r="Q202" s="939"/>
      <c r="R202" s="939"/>
      <c r="T202" s="939"/>
      <c r="U202" s="939"/>
      <c r="V202" s="939"/>
      <c r="W202" s="939"/>
    </row>
    <row r="203" spans="1:46" ht="11.25" customHeight="1">
      <c r="B203" s="899"/>
      <c r="C203" s="899"/>
      <c r="D203" s="939"/>
      <c r="E203" s="939"/>
      <c r="F203" s="939"/>
      <c r="G203" s="939"/>
      <c r="H203" s="939"/>
      <c r="I203" s="939"/>
      <c r="J203" s="939"/>
      <c r="K203" s="939"/>
      <c r="L203" s="939"/>
      <c r="M203" s="939"/>
      <c r="Q203" s="939"/>
      <c r="R203" s="939"/>
      <c r="T203" s="939"/>
      <c r="U203" s="939"/>
      <c r="V203" s="939"/>
      <c r="W203" s="939"/>
    </row>
    <row r="204" spans="1:46" ht="11.25" customHeight="1">
      <c r="B204" s="899"/>
      <c r="C204" s="899"/>
      <c r="D204" s="939"/>
      <c r="E204" s="939"/>
      <c r="F204" s="939"/>
      <c r="G204" s="939"/>
      <c r="H204" s="939"/>
      <c r="I204" s="939"/>
      <c r="J204" s="939"/>
      <c r="K204" s="939"/>
      <c r="L204" s="939"/>
      <c r="M204" s="939"/>
      <c r="Q204" s="939"/>
      <c r="R204" s="939"/>
      <c r="T204" s="939"/>
      <c r="U204" s="939"/>
      <c r="V204" s="939"/>
      <c r="W204" s="939"/>
    </row>
    <row r="205" spans="1:46" s="1033" customFormat="1" ht="11.25" customHeight="1">
      <c r="B205" s="1045"/>
      <c r="C205" s="1040"/>
      <c r="D205" s="1040"/>
      <c r="E205" s="1040"/>
      <c r="F205" s="1046"/>
      <c r="G205" s="1046"/>
      <c r="H205" s="1046"/>
      <c r="I205" s="1046"/>
      <c r="J205" s="1046"/>
      <c r="K205" s="1046"/>
      <c r="L205" s="1046"/>
      <c r="M205" s="1046"/>
      <c r="N205" s="1047"/>
      <c r="O205" s="1047"/>
      <c r="P205" s="1045"/>
      <c r="Q205" s="1046"/>
      <c r="R205" s="1046"/>
      <c r="S205" s="1048"/>
      <c r="T205" s="1046"/>
      <c r="U205" s="1046"/>
      <c r="V205" s="1046"/>
      <c r="W205" s="1046"/>
      <c r="X205" s="1040"/>
      <c r="Y205" s="1027"/>
      <c r="Z205" s="1040"/>
      <c r="AA205" s="1040"/>
      <c r="AB205" s="1040"/>
      <c r="AC205" s="1040"/>
      <c r="AD205" s="1040"/>
      <c r="AE205" s="1040"/>
      <c r="AF205" s="1040"/>
      <c r="AG205" s="1040"/>
      <c r="AH205" s="1040"/>
      <c r="AI205" s="1040"/>
      <c r="AJ205" s="1040"/>
      <c r="AK205" s="1040"/>
      <c r="AL205" s="1040"/>
      <c r="AM205" s="1040"/>
      <c r="AN205" s="1040"/>
      <c r="AO205" s="1040"/>
      <c r="AP205" s="1040"/>
      <c r="AQ205" s="1040"/>
      <c r="AR205" s="1040"/>
      <c r="AS205" s="1040"/>
      <c r="AT205" s="1040"/>
    </row>
    <row r="206" spans="1:46" s="1033" customFormat="1" ht="11.25" customHeight="1">
      <c r="B206" s="1045"/>
      <c r="C206" s="1040"/>
      <c r="D206" s="1040"/>
      <c r="E206" s="1040"/>
      <c r="F206" s="1046"/>
      <c r="G206" s="1046"/>
      <c r="H206" s="1046"/>
      <c r="I206" s="1046"/>
      <c r="J206" s="1046"/>
      <c r="K206" s="1046"/>
      <c r="L206" s="1046"/>
      <c r="M206" s="1046"/>
      <c r="N206" s="1047"/>
      <c r="O206" s="1047"/>
      <c r="P206" s="1045"/>
      <c r="Q206" s="1046"/>
      <c r="R206" s="1046"/>
      <c r="S206" s="1048"/>
      <c r="T206" s="1046"/>
      <c r="U206" s="1046"/>
      <c r="V206" s="1046"/>
      <c r="W206" s="1046"/>
      <c r="X206" s="1040"/>
      <c r="Y206" s="1027"/>
      <c r="Z206" s="1040"/>
      <c r="AA206" s="1040"/>
      <c r="AB206" s="1040"/>
      <c r="AC206" s="1040"/>
      <c r="AD206" s="1040"/>
      <c r="AE206" s="1040"/>
      <c r="AF206" s="1040"/>
      <c r="AG206" s="1040"/>
      <c r="AH206" s="1040"/>
      <c r="AI206" s="1040"/>
      <c r="AJ206" s="1040"/>
      <c r="AK206" s="1040"/>
      <c r="AL206" s="1040"/>
      <c r="AM206" s="1040"/>
      <c r="AN206" s="1040"/>
      <c r="AO206" s="1040"/>
      <c r="AP206" s="1040"/>
      <c r="AQ206" s="1040"/>
      <c r="AR206" s="1040"/>
      <c r="AS206" s="1040"/>
      <c r="AT206" s="1040"/>
    </row>
    <row r="207" spans="1:46" ht="11.25" customHeight="1">
      <c r="B207" s="899"/>
      <c r="C207" s="893"/>
      <c r="D207" s="893"/>
      <c r="E207" s="893"/>
      <c r="F207" s="939"/>
      <c r="G207" s="939"/>
      <c r="H207" s="939"/>
      <c r="I207" s="939"/>
      <c r="J207" s="939"/>
      <c r="K207" s="939"/>
      <c r="L207" s="939"/>
      <c r="M207" s="939"/>
      <c r="Q207" s="939"/>
      <c r="R207" s="939"/>
      <c r="T207" s="939"/>
      <c r="U207" s="939"/>
      <c r="V207" s="939"/>
      <c r="W207" s="939"/>
    </row>
    <row r="208" spans="1:46" ht="11.25" customHeight="1">
      <c r="B208" s="899"/>
      <c r="C208" s="893"/>
      <c r="D208" s="893"/>
      <c r="E208" s="893"/>
      <c r="F208" s="939"/>
      <c r="G208" s="939"/>
      <c r="H208" s="939"/>
      <c r="I208" s="939"/>
      <c r="J208" s="939"/>
      <c r="K208" s="939"/>
      <c r="L208" s="939"/>
      <c r="M208" s="939"/>
      <c r="Q208" s="939"/>
      <c r="R208" s="939"/>
      <c r="T208" s="939"/>
      <c r="U208" s="939"/>
      <c r="V208" s="939"/>
      <c r="W208" s="939"/>
    </row>
    <row r="209" spans="1:25" ht="11.25" customHeight="1">
      <c r="B209" s="899"/>
      <c r="C209" s="893"/>
      <c r="D209" s="893"/>
      <c r="E209" s="893"/>
      <c r="F209" s="939"/>
      <c r="G209" s="939"/>
      <c r="H209" s="939"/>
      <c r="I209" s="939"/>
      <c r="J209" s="939"/>
      <c r="K209" s="939"/>
      <c r="L209" s="939"/>
      <c r="M209" s="939"/>
      <c r="Q209" s="939"/>
      <c r="R209" s="939"/>
      <c r="T209" s="939"/>
      <c r="U209" s="939"/>
      <c r="V209" s="939"/>
      <c r="W209" s="939"/>
    </row>
    <row r="210" spans="1:25" ht="11.25" customHeight="1">
      <c r="B210" s="899"/>
      <c r="C210" s="893"/>
      <c r="D210" s="893"/>
      <c r="E210" s="893"/>
      <c r="F210" s="939"/>
      <c r="G210" s="939"/>
      <c r="H210" s="939"/>
      <c r="I210" s="939"/>
      <c r="J210" s="939"/>
      <c r="K210" s="939"/>
      <c r="L210" s="939"/>
      <c r="M210" s="939"/>
      <c r="Q210" s="939"/>
      <c r="R210" s="939"/>
      <c r="T210" s="939"/>
      <c r="U210" s="939"/>
      <c r="V210" s="939"/>
      <c r="W210" s="939"/>
    </row>
    <row r="211" spans="1:25" ht="11.25" customHeight="1">
      <c r="B211" s="899"/>
      <c r="C211" s="893"/>
      <c r="D211" s="893"/>
      <c r="E211" s="893"/>
      <c r="F211" s="939"/>
      <c r="G211" s="939"/>
      <c r="H211" s="939"/>
      <c r="I211" s="939"/>
      <c r="J211" s="939"/>
      <c r="K211" s="939"/>
      <c r="L211" s="939"/>
      <c r="M211" s="939"/>
      <c r="Q211" s="939"/>
      <c r="R211" s="939"/>
      <c r="T211" s="939"/>
      <c r="U211" s="939"/>
      <c r="V211" s="939"/>
      <c r="W211" s="939"/>
    </row>
    <row r="212" spans="1:25" ht="11.25" customHeight="1">
      <c r="B212" s="899"/>
      <c r="C212" s="893"/>
      <c r="D212" s="893"/>
      <c r="E212" s="893"/>
      <c r="F212" s="939"/>
      <c r="G212" s="939"/>
      <c r="H212" s="939"/>
      <c r="I212" s="939"/>
      <c r="J212" s="939"/>
      <c r="K212" s="939"/>
      <c r="L212" s="939"/>
      <c r="M212" s="939"/>
      <c r="Q212" s="939"/>
      <c r="R212" s="939"/>
      <c r="T212" s="939"/>
      <c r="U212" s="939"/>
      <c r="V212" s="939"/>
      <c r="W212" s="939"/>
    </row>
    <row r="213" spans="1:25" ht="11.25" customHeight="1">
      <c r="B213" s="899"/>
      <c r="C213" s="893"/>
      <c r="D213" s="893"/>
      <c r="E213" s="893"/>
      <c r="F213" s="939"/>
      <c r="G213" s="939"/>
      <c r="H213" s="939"/>
      <c r="I213" s="939"/>
      <c r="J213" s="939"/>
      <c r="K213" s="939"/>
      <c r="L213" s="939"/>
      <c r="M213" s="939"/>
      <c r="Q213" s="939"/>
      <c r="R213" s="939"/>
      <c r="T213" s="939"/>
      <c r="U213" s="939"/>
      <c r="V213" s="939"/>
      <c r="W213" s="939"/>
    </row>
    <row r="214" spans="1:25" ht="11.25" customHeight="1">
      <c r="B214" s="899"/>
      <c r="C214" s="939"/>
      <c r="D214" s="893"/>
      <c r="E214" s="893"/>
      <c r="F214" s="939"/>
      <c r="G214" s="939"/>
      <c r="H214" s="939"/>
      <c r="I214" s="939"/>
      <c r="J214" s="939"/>
      <c r="K214" s="939"/>
      <c r="L214" s="939"/>
      <c r="M214" s="939"/>
      <c r="Q214" s="939"/>
      <c r="R214" s="939"/>
      <c r="T214" s="939"/>
      <c r="U214" s="939"/>
      <c r="V214" s="939"/>
      <c r="W214" s="939"/>
    </row>
    <row r="215" spans="1:25" ht="11.25" customHeight="1">
      <c r="B215" s="899"/>
      <c r="C215" s="939"/>
      <c r="D215" s="893"/>
      <c r="E215" s="893"/>
      <c r="F215" s="939"/>
      <c r="G215" s="939"/>
      <c r="H215" s="939"/>
      <c r="I215" s="939"/>
      <c r="J215" s="939"/>
      <c r="K215" s="939"/>
      <c r="L215" s="939"/>
      <c r="M215" s="939"/>
      <c r="Q215" s="939"/>
      <c r="R215" s="939"/>
      <c r="T215" s="939"/>
      <c r="U215" s="939"/>
      <c r="V215" s="939"/>
      <c r="W215" s="939"/>
    </row>
    <row r="216" spans="1:25" ht="11.25" customHeight="1">
      <c r="B216" s="899"/>
      <c r="C216" s="939"/>
      <c r="D216" s="893"/>
      <c r="E216" s="893"/>
      <c r="F216" s="939"/>
      <c r="G216" s="939"/>
      <c r="H216" s="939"/>
      <c r="I216" s="939"/>
      <c r="J216" s="939"/>
      <c r="K216" s="939"/>
      <c r="L216" s="939"/>
      <c r="M216" s="939"/>
      <c r="Q216" s="939"/>
      <c r="R216" s="939"/>
      <c r="T216" s="939"/>
      <c r="U216" s="939"/>
      <c r="V216" s="939"/>
      <c r="W216" s="939"/>
    </row>
    <row r="217" spans="1:25" ht="11.25" customHeight="1">
      <c r="B217" s="899"/>
      <c r="C217" s="939"/>
      <c r="D217" s="893"/>
      <c r="E217" s="893"/>
      <c r="F217" s="939"/>
      <c r="G217" s="939"/>
      <c r="H217" s="939"/>
      <c r="I217" s="939"/>
      <c r="J217" s="939"/>
      <c r="K217" s="939"/>
      <c r="L217" s="939"/>
      <c r="M217" s="939"/>
      <c r="Q217" s="939"/>
      <c r="R217" s="939"/>
      <c r="T217" s="939"/>
      <c r="U217" s="939"/>
      <c r="V217" s="939"/>
      <c r="W217" s="939"/>
    </row>
    <row r="218" spans="1:25" s="893" customFormat="1" ht="11.25" customHeight="1">
      <c r="A218" s="932"/>
      <c r="B218" s="899"/>
      <c r="C218" s="939"/>
      <c r="F218" s="939"/>
      <c r="G218" s="939"/>
      <c r="H218" s="939"/>
      <c r="I218" s="939"/>
      <c r="J218" s="939"/>
      <c r="K218" s="939"/>
      <c r="L218" s="939"/>
      <c r="M218" s="939"/>
      <c r="N218" s="898"/>
      <c r="O218" s="898"/>
      <c r="P218" s="899"/>
      <c r="Q218" s="939"/>
      <c r="R218" s="939"/>
      <c r="S218" s="940"/>
      <c r="T218" s="939"/>
      <c r="U218" s="939"/>
      <c r="V218" s="939"/>
      <c r="W218" s="939"/>
      <c r="Y218" s="897"/>
    </row>
    <row r="219" spans="1:25" s="893" customFormat="1" ht="11.25" customHeight="1">
      <c r="A219" s="932"/>
      <c r="B219" s="899"/>
      <c r="C219" s="939"/>
      <c r="F219" s="939"/>
      <c r="G219" s="939"/>
      <c r="H219" s="939"/>
      <c r="I219" s="939"/>
      <c r="J219" s="939"/>
      <c r="K219" s="939"/>
      <c r="L219" s="939"/>
      <c r="M219" s="939"/>
      <c r="N219" s="898"/>
      <c r="O219" s="898"/>
      <c r="P219" s="899"/>
      <c r="Q219" s="939"/>
      <c r="R219" s="939"/>
      <c r="S219" s="940"/>
      <c r="T219" s="939"/>
      <c r="U219" s="939"/>
      <c r="V219" s="939"/>
      <c r="W219" s="939"/>
      <c r="Y219" s="897"/>
    </row>
    <row r="220" spans="1:25" s="893" customFormat="1" ht="11.25" customHeight="1">
      <c r="A220" s="932"/>
      <c r="B220" s="899"/>
      <c r="C220" s="939"/>
      <c r="F220" s="939"/>
      <c r="G220" s="939"/>
      <c r="H220" s="939"/>
      <c r="I220" s="939"/>
      <c r="J220" s="939"/>
      <c r="K220" s="939"/>
      <c r="L220" s="939"/>
      <c r="M220" s="939"/>
      <c r="N220" s="898"/>
      <c r="O220" s="898"/>
      <c r="P220" s="899"/>
      <c r="Q220" s="939"/>
      <c r="R220" s="939"/>
      <c r="S220" s="940"/>
      <c r="T220" s="939"/>
      <c r="U220" s="939"/>
      <c r="V220" s="939"/>
      <c r="W220" s="939"/>
      <c r="Y220" s="897"/>
    </row>
    <row r="221" spans="1:25" s="893" customFormat="1" ht="11.25" customHeight="1">
      <c r="A221" s="932"/>
      <c r="B221" s="899"/>
      <c r="C221" s="939"/>
      <c r="F221" s="939"/>
      <c r="G221" s="939"/>
      <c r="H221" s="939"/>
      <c r="I221" s="939"/>
      <c r="J221" s="939"/>
      <c r="K221" s="939"/>
      <c r="L221" s="939"/>
      <c r="M221" s="939"/>
      <c r="N221" s="898"/>
      <c r="O221" s="898"/>
      <c r="P221" s="899"/>
      <c r="Q221" s="939"/>
      <c r="R221" s="939"/>
      <c r="S221" s="940"/>
      <c r="T221" s="939"/>
      <c r="U221" s="939"/>
      <c r="V221" s="939"/>
      <c r="W221" s="939"/>
      <c r="Y221" s="897"/>
    </row>
    <row r="222" spans="1:25" s="893" customFormat="1" ht="11.25" customHeight="1">
      <c r="A222" s="932"/>
      <c r="B222" s="899"/>
      <c r="C222" s="939"/>
      <c r="F222" s="939"/>
      <c r="G222" s="939"/>
      <c r="H222" s="939"/>
      <c r="I222" s="939"/>
      <c r="J222" s="939"/>
      <c r="K222" s="939"/>
      <c r="L222" s="939"/>
      <c r="M222" s="939"/>
      <c r="N222" s="898"/>
      <c r="O222" s="898"/>
      <c r="P222" s="899"/>
      <c r="Q222" s="939"/>
      <c r="R222" s="939"/>
      <c r="S222" s="940"/>
      <c r="T222" s="939"/>
      <c r="U222" s="939"/>
      <c r="V222" s="939"/>
      <c r="W222" s="939"/>
      <c r="Y222" s="897"/>
    </row>
    <row r="223" spans="1:25" s="893" customFormat="1" ht="11.25" customHeight="1">
      <c r="A223" s="932"/>
      <c r="B223" s="899"/>
      <c r="C223" s="1016"/>
      <c r="F223" s="939"/>
      <c r="G223" s="939"/>
      <c r="H223" s="939"/>
      <c r="I223" s="939"/>
      <c r="J223" s="939"/>
      <c r="K223" s="939"/>
      <c r="L223" s="939"/>
      <c r="M223" s="939"/>
      <c r="N223" s="898"/>
      <c r="O223" s="898"/>
      <c r="P223" s="899"/>
      <c r="Q223" s="939"/>
      <c r="R223" s="939"/>
      <c r="S223" s="940"/>
      <c r="T223" s="939"/>
      <c r="U223" s="939"/>
      <c r="V223" s="939"/>
      <c r="W223" s="939"/>
      <c r="Y223" s="897"/>
    </row>
    <row r="224" spans="1:25" s="893" customFormat="1" ht="11.25" customHeight="1">
      <c r="A224" s="932"/>
      <c r="B224" s="899"/>
      <c r="C224" s="1016"/>
      <c r="F224" s="939"/>
      <c r="G224" s="939"/>
      <c r="H224" s="939"/>
      <c r="I224" s="939"/>
      <c r="J224" s="939"/>
      <c r="K224" s="939"/>
      <c r="L224" s="939"/>
      <c r="M224" s="939"/>
      <c r="N224" s="898"/>
      <c r="O224" s="898"/>
      <c r="P224" s="899"/>
      <c r="Q224" s="939"/>
      <c r="R224" s="939"/>
      <c r="S224" s="940"/>
      <c r="T224" s="939"/>
      <c r="U224" s="939"/>
      <c r="V224" s="939"/>
      <c r="W224" s="939"/>
      <c r="Y224" s="897"/>
    </row>
    <row r="225" spans="1:46" s="893" customFormat="1" ht="11.25" customHeight="1">
      <c r="A225" s="932"/>
      <c r="B225" s="899"/>
      <c r="C225" s="1016"/>
      <c r="F225" s="939"/>
      <c r="G225" s="939"/>
      <c r="H225" s="939"/>
      <c r="I225" s="939"/>
      <c r="J225" s="939"/>
      <c r="K225" s="939"/>
      <c r="L225" s="939"/>
      <c r="M225" s="939"/>
      <c r="N225" s="898"/>
      <c r="O225" s="898"/>
      <c r="P225" s="899"/>
      <c r="Q225" s="939"/>
      <c r="R225" s="939"/>
      <c r="S225" s="940"/>
      <c r="T225" s="939"/>
      <c r="U225" s="939"/>
      <c r="V225" s="939"/>
      <c r="W225" s="939"/>
      <c r="Y225" s="897"/>
    </row>
    <row r="226" spans="1:46" s="893" customFormat="1" ht="11.25" customHeight="1">
      <c r="A226" s="932"/>
      <c r="B226" s="899"/>
      <c r="C226" s="1016"/>
      <c r="F226" s="939"/>
      <c r="G226" s="939"/>
      <c r="H226" s="939"/>
      <c r="I226" s="939"/>
      <c r="J226" s="939"/>
      <c r="K226" s="939"/>
      <c r="L226" s="939"/>
      <c r="M226" s="939"/>
      <c r="N226" s="898"/>
      <c r="O226" s="898"/>
      <c r="P226" s="899"/>
      <c r="Q226" s="939"/>
      <c r="R226" s="939"/>
      <c r="S226" s="940"/>
      <c r="T226" s="939"/>
      <c r="U226" s="939"/>
      <c r="V226" s="939"/>
      <c r="W226" s="939"/>
      <c r="Y226" s="897"/>
    </row>
    <row r="227" spans="1:46" s="893" customFormat="1" ht="11.25" customHeight="1">
      <c r="A227" s="932"/>
      <c r="B227" s="899"/>
      <c r="C227" s="1017"/>
      <c r="F227" s="939"/>
      <c r="G227" s="939"/>
      <c r="H227" s="939"/>
      <c r="I227" s="939"/>
      <c r="J227" s="939"/>
      <c r="K227" s="939"/>
      <c r="L227" s="939"/>
      <c r="M227" s="939"/>
      <c r="N227" s="898"/>
      <c r="O227" s="898"/>
      <c r="P227" s="899"/>
      <c r="Q227" s="939"/>
      <c r="R227" s="939"/>
      <c r="S227" s="940"/>
      <c r="T227" s="939"/>
      <c r="U227" s="939"/>
      <c r="V227" s="939"/>
      <c r="W227" s="939"/>
      <c r="Y227" s="897"/>
    </row>
    <row r="228" spans="1:46" s="893" customFormat="1" ht="11.25" customHeight="1">
      <c r="A228" s="932"/>
      <c r="B228" s="899"/>
      <c r="C228" s="1016"/>
      <c r="F228" s="939"/>
      <c r="G228" s="939"/>
      <c r="H228" s="939"/>
      <c r="I228" s="939"/>
      <c r="J228" s="939"/>
      <c r="K228" s="939"/>
      <c r="L228" s="939"/>
      <c r="M228" s="939"/>
      <c r="N228" s="898"/>
      <c r="O228" s="898"/>
      <c r="P228" s="899"/>
      <c r="Q228" s="939"/>
      <c r="R228" s="939"/>
      <c r="S228" s="940"/>
      <c r="T228" s="939"/>
      <c r="U228" s="939"/>
      <c r="V228" s="939"/>
      <c r="W228" s="939"/>
      <c r="Y228" s="897"/>
    </row>
    <row r="229" spans="1:46" s="893" customFormat="1" ht="11.25" customHeight="1">
      <c r="A229" s="932"/>
      <c r="B229" s="899"/>
      <c r="C229" s="1016"/>
      <c r="F229" s="939"/>
      <c r="G229" s="939"/>
      <c r="H229" s="939"/>
      <c r="I229" s="939"/>
      <c r="J229" s="939"/>
      <c r="K229" s="939"/>
      <c r="L229" s="939"/>
      <c r="M229" s="939"/>
      <c r="N229" s="898"/>
      <c r="O229" s="898"/>
      <c r="P229" s="899"/>
      <c r="Q229" s="939"/>
      <c r="R229" s="939"/>
      <c r="S229" s="940"/>
      <c r="T229" s="939"/>
      <c r="U229" s="939"/>
      <c r="V229" s="939"/>
      <c r="W229" s="939"/>
      <c r="Y229" s="897"/>
    </row>
    <row r="230" spans="1:46" s="893" customFormat="1" ht="11.25" customHeight="1">
      <c r="A230" s="932"/>
      <c r="B230" s="899"/>
      <c r="C230" s="1016"/>
      <c r="F230" s="939"/>
      <c r="G230" s="939"/>
      <c r="H230" s="939"/>
      <c r="I230" s="939"/>
      <c r="J230" s="939"/>
      <c r="K230" s="939"/>
      <c r="L230" s="939"/>
      <c r="M230" s="939"/>
      <c r="N230" s="898"/>
      <c r="O230" s="898"/>
      <c r="P230" s="899"/>
      <c r="Q230" s="939"/>
      <c r="R230" s="939"/>
      <c r="S230" s="940"/>
      <c r="T230" s="939"/>
      <c r="U230" s="939"/>
      <c r="V230" s="939"/>
      <c r="W230" s="939"/>
      <c r="Y230" s="897"/>
    </row>
    <row r="231" spans="1:46" s="893" customFormat="1" ht="11.25" customHeight="1">
      <c r="A231" s="932"/>
      <c r="B231" s="899"/>
      <c r="C231" s="1016"/>
      <c r="F231" s="939"/>
      <c r="G231" s="939"/>
      <c r="H231" s="939"/>
      <c r="I231" s="939"/>
      <c r="J231" s="939"/>
      <c r="K231" s="939"/>
      <c r="L231" s="939"/>
      <c r="M231" s="939"/>
      <c r="N231" s="898"/>
      <c r="O231" s="898"/>
      <c r="P231" s="899"/>
      <c r="Q231" s="939"/>
      <c r="R231" s="939"/>
      <c r="S231" s="940"/>
      <c r="T231" s="939"/>
      <c r="U231" s="939"/>
      <c r="V231" s="939"/>
      <c r="W231" s="939"/>
      <c r="Y231" s="897"/>
    </row>
    <row r="232" spans="1:46" s="893" customFormat="1" ht="11.25" customHeight="1">
      <c r="A232" s="932"/>
      <c r="B232" s="899"/>
      <c r="C232" s="939"/>
      <c r="F232" s="939"/>
      <c r="G232" s="939"/>
      <c r="H232" s="939"/>
      <c r="I232" s="939"/>
      <c r="J232" s="939"/>
      <c r="K232" s="939"/>
      <c r="L232" s="939"/>
      <c r="M232" s="939"/>
      <c r="N232" s="898"/>
      <c r="O232" s="898"/>
      <c r="P232" s="899"/>
      <c r="Q232" s="939"/>
      <c r="R232" s="939"/>
      <c r="S232" s="940"/>
      <c r="T232" s="939"/>
      <c r="U232" s="939"/>
      <c r="V232" s="939"/>
      <c r="W232" s="939"/>
      <c r="Y232" s="897"/>
    </row>
    <row r="233" spans="1:46" s="893" customFormat="1" ht="11.25" customHeight="1">
      <c r="A233" s="932"/>
      <c r="B233" s="899"/>
      <c r="C233" s="1016"/>
      <c r="F233" s="939"/>
      <c r="G233" s="939"/>
      <c r="H233" s="939"/>
      <c r="I233" s="939"/>
      <c r="J233" s="939"/>
      <c r="K233" s="939"/>
      <c r="L233" s="939"/>
      <c r="M233" s="939"/>
      <c r="N233" s="898"/>
      <c r="O233" s="898"/>
      <c r="P233" s="899"/>
      <c r="Q233" s="939"/>
      <c r="R233" s="939"/>
      <c r="S233" s="940"/>
      <c r="T233" s="939"/>
      <c r="U233" s="939"/>
      <c r="V233" s="939"/>
      <c r="W233" s="939"/>
      <c r="Y233" s="897"/>
    </row>
    <row r="234" spans="1:46" s="897" customFormat="1" ht="11.25" customHeight="1">
      <c r="A234" s="932"/>
      <c r="B234" s="899"/>
      <c r="C234" s="939"/>
      <c r="D234" s="893"/>
      <c r="E234" s="893"/>
      <c r="F234" s="939"/>
      <c r="G234" s="939"/>
      <c r="H234" s="939"/>
      <c r="I234" s="939"/>
      <c r="J234" s="939"/>
      <c r="K234" s="939"/>
      <c r="L234" s="939"/>
      <c r="M234" s="939"/>
      <c r="N234" s="898"/>
      <c r="O234" s="898"/>
      <c r="P234" s="899"/>
      <c r="Q234" s="939"/>
      <c r="R234" s="939"/>
      <c r="S234" s="940"/>
      <c r="T234" s="939"/>
      <c r="U234" s="939"/>
      <c r="V234" s="939"/>
      <c r="W234" s="939"/>
      <c r="X234" s="893"/>
      <c r="Z234" s="893"/>
      <c r="AA234" s="893"/>
      <c r="AB234" s="893"/>
      <c r="AC234" s="893"/>
      <c r="AD234" s="893"/>
      <c r="AE234" s="893"/>
      <c r="AF234" s="893"/>
      <c r="AG234" s="893"/>
      <c r="AH234" s="893"/>
      <c r="AI234" s="893"/>
      <c r="AJ234" s="893"/>
      <c r="AK234" s="893"/>
      <c r="AL234" s="893"/>
      <c r="AM234" s="893"/>
      <c r="AN234" s="893"/>
      <c r="AO234" s="893"/>
      <c r="AP234" s="893"/>
      <c r="AQ234" s="893"/>
      <c r="AR234" s="893"/>
      <c r="AS234" s="893"/>
      <c r="AT234" s="893"/>
    </row>
    <row r="235" spans="1:46" s="897" customFormat="1" ht="11.25" customHeight="1">
      <c r="A235" s="932"/>
      <c r="B235" s="899"/>
      <c r="C235" s="893"/>
      <c r="D235" s="893"/>
      <c r="E235" s="893"/>
      <c r="F235" s="939"/>
      <c r="G235" s="939"/>
      <c r="H235" s="939"/>
      <c r="I235" s="939"/>
      <c r="J235" s="939"/>
      <c r="K235" s="939"/>
      <c r="L235" s="939"/>
      <c r="M235" s="939"/>
      <c r="N235" s="898"/>
      <c r="O235" s="898"/>
      <c r="P235" s="899"/>
      <c r="Q235" s="939"/>
      <c r="R235" s="939"/>
      <c r="S235" s="940"/>
      <c r="T235" s="939"/>
      <c r="U235" s="939"/>
      <c r="V235" s="939"/>
      <c r="W235" s="939"/>
      <c r="X235" s="893"/>
      <c r="Z235" s="893"/>
      <c r="AA235" s="893"/>
      <c r="AB235" s="893"/>
      <c r="AC235" s="893"/>
      <c r="AD235" s="893"/>
      <c r="AE235" s="893"/>
      <c r="AF235" s="893"/>
      <c r="AG235" s="893"/>
      <c r="AH235" s="893"/>
      <c r="AI235" s="893"/>
      <c r="AJ235" s="893"/>
      <c r="AK235" s="893"/>
      <c r="AL235" s="893"/>
      <c r="AM235" s="893"/>
      <c r="AN235" s="893"/>
      <c r="AO235" s="893"/>
      <c r="AP235" s="893"/>
      <c r="AQ235" s="893"/>
      <c r="AR235" s="893"/>
      <c r="AS235" s="893"/>
      <c r="AT235" s="893"/>
    </row>
    <row r="236" spans="1:46" s="897" customFormat="1" ht="11.25" customHeight="1">
      <c r="A236" s="932"/>
      <c r="C236" s="893"/>
      <c r="D236" s="893"/>
      <c r="E236" s="893"/>
      <c r="F236" s="939"/>
      <c r="G236" s="939"/>
      <c r="H236" s="939"/>
      <c r="I236" s="939"/>
      <c r="J236" s="939"/>
      <c r="K236" s="939"/>
      <c r="L236" s="939"/>
      <c r="M236" s="939"/>
      <c r="N236" s="898"/>
      <c r="O236" s="898"/>
      <c r="P236" s="899"/>
      <c r="Q236" s="939"/>
      <c r="R236" s="939"/>
      <c r="S236" s="940"/>
      <c r="T236" s="939"/>
      <c r="U236" s="939"/>
      <c r="V236" s="939"/>
      <c r="W236" s="939"/>
      <c r="X236" s="893"/>
      <c r="Z236" s="893"/>
      <c r="AA236" s="893"/>
      <c r="AB236" s="893"/>
      <c r="AC236" s="893"/>
      <c r="AD236" s="893"/>
      <c r="AE236" s="893"/>
      <c r="AF236" s="893"/>
      <c r="AG236" s="893"/>
      <c r="AH236" s="893"/>
      <c r="AI236" s="893"/>
      <c r="AJ236" s="893"/>
      <c r="AK236" s="893"/>
      <c r="AL236" s="893"/>
      <c r="AM236" s="893"/>
      <c r="AN236" s="893"/>
      <c r="AO236" s="893"/>
      <c r="AP236" s="893"/>
      <c r="AQ236" s="893"/>
      <c r="AR236" s="893"/>
      <c r="AS236" s="893"/>
      <c r="AT236" s="893"/>
    </row>
    <row r="237" spans="1:46" s="897" customFormat="1" ht="11.25" customHeight="1">
      <c r="A237" s="932"/>
      <c r="C237" s="893"/>
      <c r="D237" s="893"/>
      <c r="E237" s="893"/>
      <c r="F237" s="939"/>
      <c r="G237" s="939"/>
      <c r="H237" s="939"/>
      <c r="I237" s="939"/>
      <c r="J237" s="939"/>
      <c r="K237" s="939"/>
      <c r="L237" s="939"/>
      <c r="M237" s="939"/>
      <c r="N237" s="898"/>
      <c r="O237" s="898"/>
      <c r="P237" s="899"/>
      <c r="Q237" s="939"/>
      <c r="R237" s="939"/>
      <c r="S237" s="940"/>
      <c r="T237" s="939"/>
      <c r="U237" s="939"/>
      <c r="V237" s="939"/>
      <c r="W237" s="939"/>
      <c r="X237" s="893"/>
      <c r="Z237" s="893"/>
      <c r="AA237" s="893"/>
      <c r="AB237" s="893"/>
      <c r="AC237" s="893"/>
      <c r="AD237" s="893"/>
      <c r="AE237" s="893"/>
      <c r="AF237" s="893"/>
      <c r="AG237" s="893"/>
      <c r="AH237" s="893"/>
      <c r="AI237" s="893"/>
      <c r="AJ237" s="893"/>
      <c r="AK237" s="893"/>
      <c r="AL237" s="893"/>
      <c r="AM237" s="893"/>
      <c r="AN237" s="893"/>
      <c r="AO237" s="893"/>
      <c r="AP237" s="893"/>
      <c r="AQ237" s="893"/>
      <c r="AR237" s="893"/>
      <c r="AS237" s="893"/>
      <c r="AT237" s="893"/>
    </row>
    <row r="238" spans="1:46" s="897" customFormat="1" ht="11.25" customHeight="1">
      <c r="A238" s="932"/>
      <c r="C238" s="893"/>
      <c r="D238" s="893"/>
      <c r="E238" s="893"/>
      <c r="F238" s="939"/>
      <c r="G238" s="939"/>
      <c r="H238" s="939"/>
      <c r="I238" s="939"/>
      <c r="J238" s="939"/>
      <c r="K238" s="939"/>
      <c r="L238" s="939"/>
      <c r="M238" s="939"/>
      <c r="N238" s="898"/>
      <c r="O238" s="898"/>
      <c r="P238" s="899"/>
      <c r="Q238" s="939"/>
      <c r="R238" s="939"/>
      <c r="S238" s="940"/>
      <c r="T238" s="939"/>
      <c r="U238" s="939"/>
      <c r="V238" s="939"/>
      <c r="W238" s="939"/>
      <c r="X238" s="893"/>
      <c r="Z238" s="893"/>
      <c r="AA238" s="893"/>
      <c r="AB238" s="893"/>
      <c r="AC238" s="893"/>
      <c r="AD238" s="893"/>
      <c r="AE238" s="893"/>
      <c r="AF238" s="893"/>
      <c r="AG238" s="893"/>
      <c r="AH238" s="893"/>
      <c r="AI238" s="893"/>
      <c r="AJ238" s="893"/>
      <c r="AK238" s="893"/>
      <c r="AL238" s="893"/>
      <c r="AM238" s="893"/>
      <c r="AN238" s="893"/>
      <c r="AO238" s="893"/>
      <c r="AP238" s="893"/>
      <c r="AQ238" s="893"/>
      <c r="AR238" s="893"/>
      <c r="AS238" s="893"/>
      <c r="AT238" s="893"/>
    </row>
    <row r="239" spans="1:46" s="897" customFormat="1" ht="11.25" customHeight="1">
      <c r="A239" s="932"/>
      <c r="C239" s="893"/>
      <c r="D239" s="893"/>
      <c r="E239" s="893"/>
      <c r="F239" s="939"/>
      <c r="G239" s="939"/>
      <c r="H239" s="939"/>
      <c r="I239" s="939"/>
      <c r="J239" s="939"/>
      <c r="K239" s="939"/>
      <c r="L239" s="939"/>
      <c r="M239" s="939"/>
      <c r="N239" s="898"/>
      <c r="O239" s="898"/>
      <c r="P239" s="899"/>
      <c r="Q239" s="939"/>
      <c r="R239" s="939"/>
      <c r="S239" s="940"/>
      <c r="T239" s="893"/>
      <c r="U239" s="939"/>
      <c r="V239" s="939"/>
      <c r="W239" s="939"/>
      <c r="X239" s="893"/>
      <c r="Z239" s="893"/>
      <c r="AA239" s="893"/>
      <c r="AB239" s="893"/>
      <c r="AC239" s="893"/>
      <c r="AD239" s="893"/>
      <c r="AE239" s="893"/>
      <c r="AF239" s="893"/>
      <c r="AG239" s="893"/>
      <c r="AH239" s="893"/>
      <c r="AI239" s="893"/>
      <c r="AJ239" s="893"/>
      <c r="AK239" s="893"/>
      <c r="AL239" s="893"/>
      <c r="AM239" s="893"/>
      <c r="AN239" s="893"/>
      <c r="AO239" s="893"/>
      <c r="AP239" s="893"/>
      <c r="AQ239" s="893"/>
      <c r="AR239" s="893"/>
      <c r="AS239" s="893"/>
      <c r="AT239" s="893"/>
    </row>
    <row r="240" spans="1:46" s="897" customFormat="1" ht="11.25" customHeight="1">
      <c r="A240" s="932"/>
      <c r="C240" s="893"/>
      <c r="D240" s="893"/>
      <c r="E240" s="893"/>
      <c r="F240" s="939"/>
      <c r="G240" s="939"/>
      <c r="H240" s="939"/>
      <c r="I240" s="939"/>
      <c r="J240" s="939"/>
      <c r="K240" s="939"/>
      <c r="L240" s="939"/>
      <c r="M240" s="939"/>
      <c r="N240" s="898"/>
      <c r="O240" s="898"/>
      <c r="P240" s="899"/>
      <c r="Q240" s="939"/>
      <c r="R240" s="939"/>
      <c r="S240" s="940"/>
      <c r="T240" s="893"/>
      <c r="U240" s="939"/>
      <c r="V240" s="939"/>
      <c r="W240" s="939"/>
      <c r="X240" s="893"/>
      <c r="Z240" s="893"/>
      <c r="AA240" s="893"/>
      <c r="AB240" s="893"/>
      <c r="AC240" s="893"/>
      <c r="AD240" s="893"/>
      <c r="AE240" s="893"/>
      <c r="AF240" s="893"/>
      <c r="AG240" s="893"/>
      <c r="AH240" s="893"/>
      <c r="AI240" s="893"/>
      <c r="AJ240" s="893"/>
      <c r="AK240" s="893"/>
      <c r="AL240" s="893"/>
      <c r="AM240" s="893"/>
      <c r="AN240" s="893"/>
      <c r="AO240" s="893"/>
      <c r="AP240" s="893"/>
      <c r="AQ240" s="893"/>
      <c r="AR240" s="893"/>
      <c r="AS240" s="893"/>
      <c r="AT240" s="893"/>
    </row>
    <row r="241" spans="1:46" s="897" customFormat="1" ht="11.25" customHeight="1">
      <c r="A241" s="932"/>
      <c r="C241" s="939"/>
      <c r="D241" s="893"/>
      <c r="E241" s="893"/>
      <c r="F241" s="939"/>
      <c r="G241" s="939"/>
      <c r="H241" s="939"/>
      <c r="I241" s="939"/>
      <c r="J241" s="939"/>
      <c r="K241" s="939"/>
      <c r="L241" s="939"/>
      <c r="M241" s="939"/>
      <c r="N241" s="898"/>
      <c r="O241" s="898"/>
      <c r="P241" s="899"/>
      <c r="Q241" s="939"/>
      <c r="R241" s="939"/>
      <c r="S241" s="940"/>
      <c r="T241" s="893"/>
      <c r="U241" s="939"/>
      <c r="V241" s="939"/>
      <c r="W241" s="939"/>
      <c r="X241" s="893"/>
      <c r="Z241" s="893"/>
      <c r="AA241" s="893"/>
      <c r="AB241" s="893"/>
      <c r="AC241" s="893"/>
      <c r="AD241" s="893"/>
      <c r="AE241" s="893"/>
      <c r="AF241" s="893"/>
      <c r="AG241" s="893"/>
      <c r="AH241" s="893"/>
      <c r="AI241" s="893"/>
      <c r="AJ241" s="893"/>
      <c r="AK241" s="893"/>
      <c r="AL241" s="893"/>
      <c r="AM241" s="893"/>
      <c r="AN241" s="893"/>
      <c r="AO241" s="893"/>
      <c r="AP241" s="893"/>
      <c r="AQ241" s="893"/>
      <c r="AR241" s="893"/>
      <c r="AS241" s="893"/>
      <c r="AT241" s="893"/>
    </row>
    <row r="242" spans="1:46" s="897" customFormat="1" ht="11.25" customHeight="1">
      <c r="A242" s="932"/>
      <c r="C242" s="939"/>
      <c r="D242" s="893"/>
      <c r="E242" s="893"/>
      <c r="F242" s="939"/>
      <c r="G242" s="939"/>
      <c r="H242" s="939"/>
      <c r="I242" s="939"/>
      <c r="J242" s="939"/>
      <c r="K242" s="939"/>
      <c r="L242" s="939"/>
      <c r="M242" s="939"/>
      <c r="N242" s="898"/>
      <c r="O242" s="898"/>
      <c r="P242" s="899"/>
      <c r="Q242" s="939"/>
      <c r="R242" s="939"/>
      <c r="S242" s="940"/>
      <c r="T242" s="893"/>
      <c r="U242" s="939"/>
      <c r="V242" s="939"/>
      <c r="W242" s="939"/>
      <c r="X242" s="893"/>
      <c r="Z242" s="893"/>
      <c r="AA242" s="893"/>
      <c r="AB242" s="893"/>
      <c r="AC242" s="893"/>
      <c r="AD242" s="893"/>
      <c r="AE242" s="893"/>
      <c r="AF242" s="893"/>
      <c r="AG242" s="893"/>
      <c r="AH242" s="893"/>
      <c r="AI242" s="893"/>
      <c r="AJ242" s="893"/>
      <c r="AK242" s="893"/>
      <c r="AL242" s="893"/>
      <c r="AM242" s="893"/>
      <c r="AN242" s="893"/>
      <c r="AO242" s="893"/>
      <c r="AP242" s="893"/>
      <c r="AQ242" s="893"/>
      <c r="AR242" s="893"/>
      <c r="AS242" s="893"/>
      <c r="AT242" s="893"/>
    </row>
    <row r="243" spans="1:46" s="897" customFormat="1" ht="11.25" customHeight="1">
      <c r="A243" s="932"/>
      <c r="C243" s="893"/>
      <c r="D243" s="893"/>
      <c r="E243" s="893"/>
      <c r="F243" s="893"/>
      <c r="G243" s="893"/>
      <c r="H243" s="893"/>
      <c r="I243" s="893"/>
      <c r="J243" s="893"/>
      <c r="K243" s="893"/>
      <c r="L243" s="893"/>
      <c r="M243" s="893"/>
      <c r="N243" s="898"/>
      <c r="O243" s="898"/>
      <c r="P243" s="899"/>
      <c r="Q243" s="893"/>
      <c r="R243" s="893"/>
      <c r="S243" s="940"/>
      <c r="T243" s="893"/>
      <c r="U243" s="893"/>
      <c r="V243" s="893"/>
      <c r="W243" s="893"/>
      <c r="X243" s="893"/>
      <c r="Z243" s="893"/>
      <c r="AA243" s="893"/>
      <c r="AB243" s="893"/>
      <c r="AC243" s="893"/>
      <c r="AD243" s="893"/>
      <c r="AE243" s="893"/>
      <c r="AF243" s="893"/>
      <c r="AG243" s="893"/>
      <c r="AH243" s="893"/>
      <c r="AI243" s="893"/>
      <c r="AJ243" s="893"/>
      <c r="AK243" s="893"/>
      <c r="AL243" s="893"/>
      <c r="AM243" s="893"/>
      <c r="AN243" s="893"/>
      <c r="AO243" s="893"/>
      <c r="AP243" s="893"/>
      <c r="AQ243" s="893"/>
      <c r="AR243" s="893"/>
      <c r="AS243" s="893"/>
      <c r="AT243" s="893"/>
    </row>
    <row r="244" spans="1:46" s="897" customFormat="1" ht="11.25" customHeight="1">
      <c r="A244" s="932"/>
      <c r="C244" s="893"/>
      <c r="D244" s="893"/>
      <c r="E244" s="893"/>
      <c r="F244" s="893"/>
      <c r="G244" s="893"/>
      <c r="H244" s="893"/>
      <c r="I244" s="893"/>
      <c r="J244" s="893"/>
      <c r="K244" s="893"/>
      <c r="L244" s="893"/>
      <c r="M244" s="893"/>
      <c r="N244" s="898"/>
      <c r="O244" s="898"/>
      <c r="P244" s="899"/>
      <c r="Q244" s="893"/>
      <c r="R244" s="893"/>
      <c r="S244" s="940"/>
      <c r="T244" s="893"/>
      <c r="U244" s="893"/>
      <c r="V244" s="893"/>
      <c r="W244" s="893"/>
      <c r="X244" s="893"/>
      <c r="Z244" s="893"/>
      <c r="AA244" s="893"/>
      <c r="AB244" s="893"/>
      <c r="AC244" s="893"/>
      <c r="AD244" s="893"/>
      <c r="AE244" s="893"/>
      <c r="AF244" s="893"/>
      <c r="AG244" s="893"/>
      <c r="AH244" s="893"/>
      <c r="AI244" s="893"/>
      <c r="AJ244" s="893"/>
      <c r="AK244" s="893"/>
      <c r="AL244" s="893"/>
      <c r="AM244" s="893"/>
      <c r="AN244" s="893"/>
      <c r="AO244" s="893"/>
      <c r="AP244" s="893"/>
      <c r="AQ244" s="893"/>
      <c r="AR244" s="893"/>
      <c r="AS244" s="893"/>
      <c r="AT244" s="893"/>
    </row>
    <row r="245" spans="1:46" s="897" customFormat="1" ht="11.25" customHeight="1">
      <c r="A245" s="932"/>
      <c r="C245" s="893"/>
      <c r="D245" s="893"/>
      <c r="E245" s="893"/>
      <c r="F245" s="893"/>
      <c r="G245" s="893"/>
      <c r="H245" s="893"/>
      <c r="I245" s="893"/>
      <c r="J245" s="893"/>
      <c r="K245" s="893"/>
      <c r="L245" s="893"/>
      <c r="M245" s="893"/>
      <c r="N245" s="898"/>
      <c r="O245" s="898"/>
      <c r="P245" s="899"/>
      <c r="Q245" s="893"/>
      <c r="R245" s="893"/>
      <c r="S245" s="940"/>
      <c r="T245" s="893"/>
      <c r="U245" s="893"/>
      <c r="V245" s="893"/>
      <c r="W245" s="893"/>
      <c r="X245" s="893"/>
      <c r="Z245" s="893"/>
      <c r="AA245" s="893"/>
      <c r="AB245" s="893"/>
      <c r="AC245" s="893"/>
      <c r="AD245" s="893"/>
      <c r="AE245" s="893"/>
      <c r="AF245" s="893"/>
      <c r="AG245" s="893"/>
      <c r="AH245" s="893"/>
      <c r="AI245" s="893"/>
      <c r="AJ245" s="893"/>
      <c r="AK245" s="893"/>
      <c r="AL245" s="893"/>
      <c r="AM245" s="893"/>
      <c r="AN245" s="893"/>
      <c r="AO245" s="893"/>
      <c r="AP245" s="893"/>
      <c r="AQ245" s="893"/>
      <c r="AR245" s="893"/>
      <c r="AS245" s="893"/>
      <c r="AT245" s="893"/>
    </row>
    <row r="246" spans="1:46" s="897" customFormat="1" ht="11.25" customHeight="1">
      <c r="A246" s="932"/>
      <c r="C246" s="899"/>
      <c r="D246" s="893"/>
      <c r="E246" s="893"/>
      <c r="F246" s="893"/>
      <c r="G246" s="893"/>
      <c r="H246" s="893"/>
      <c r="I246" s="893"/>
      <c r="J246" s="893"/>
      <c r="K246" s="893"/>
      <c r="L246" s="893"/>
      <c r="M246" s="893"/>
      <c r="N246" s="898"/>
      <c r="O246" s="898"/>
      <c r="P246" s="899"/>
      <c r="Q246" s="893"/>
      <c r="R246" s="893"/>
      <c r="S246" s="940"/>
      <c r="T246" s="893"/>
      <c r="U246" s="893"/>
      <c r="V246" s="893"/>
      <c r="W246" s="893"/>
      <c r="X246" s="893"/>
      <c r="Z246" s="893"/>
      <c r="AA246" s="893"/>
      <c r="AB246" s="893"/>
      <c r="AC246" s="893"/>
      <c r="AD246" s="893"/>
      <c r="AE246" s="893"/>
      <c r="AF246" s="893"/>
      <c r="AG246" s="893"/>
      <c r="AH246" s="893"/>
      <c r="AI246" s="893"/>
      <c r="AJ246" s="893"/>
      <c r="AK246" s="893"/>
      <c r="AL246" s="893"/>
      <c r="AM246" s="893"/>
      <c r="AN246" s="893"/>
      <c r="AO246" s="893"/>
      <c r="AP246" s="893"/>
      <c r="AQ246" s="893"/>
      <c r="AR246" s="893"/>
      <c r="AS246" s="893"/>
      <c r="AT246" s="893"/>
    </row>
    <row r="247" spans="1:46" s="897" customFormat="1" ht="11.25" customHeight="1">
      <c r="A247" s="932"/>
      <c r="C247" s="893"/>
      <c r="D247" s="893"/>
      <c r="E247" s="893"/>
      <c r="F247" s="893"/>
      <c r="G247" s="893"/>
      <c r="H247" s="893"/>
      <c r="I247" s="893"/>
      <c r="J247" s="893"/>
      <c r="K247" s="893"/>
      <c r="L247" s="893"/>
      <c r="M247" s="893"/>
      <c r="N247" s="898"/>
      <c r="O247" s="898"/>
      <c r="P247" s="899"/>
      <c r="Q247" s="893"/>
      <c r="R247" s="893"/>
      <c r="S247" s="940"/>
      <c r="T247" s="893"/>
      <c r="U247" s="893"/>
      <c r="V247" s="893"/>
      <c r="W247" s="893"/>
      <c r="X247" s="893"/>
      <c r="Z247" s="893"/>
      <c r="AA247" s="893"/>
      <c r="AB247" s="893"/>
      <c r="AC247" s="893"/>
      <c r="AD247" s="893"/>
      <c r="AE247" s="893"/>
      <c r="AF247" s="893"/>
      <c r="AG247" s="893"/>
      <c r="AH247" s="893"/>
      <c r="AI247" s="893"/>
      <c r="AJ247" s="893"/>
      <c r="AK247" s="893"/>
      <c r="AL247" s="893"/>
      <c r="AM247" s="893"/>
      <c r="AN247" s="893"/>
      <c r="AO247" s="893"/>
      <c r="AP247" s="893"/>
      <c r="AQ247" s="893"/>
      <c r="AR247" s="893"/>
      <c r="AS247" s="893"/>
      <c r="AT247" s="893"/>
    </row>
    <row r="248" spans="1:46" s="897" customFormat="1" ht="11.25" customHeight="1">
      <c r="A248" s="932"/>
      <c r="B248" s="899"/>
      <c r="C248" s="893"/>
      <c r="D248" s="893"/>
      <c r="E248" s="893"/>
      <c r="F248" s="893"/>
      <c r="G248" s="893"/>
      <c r="H248" s="893"/>
      <c r="I248" s="893"/>
      <c r="J248" s="893"/>
      <c r="K248" s="893"/>
      <c r="L248" s="893"/>
      <c r="M248" s="899"/>
      <c r="N248" s="898"/>
      <c r="O248" s="898"/>
      <c r="P248" s="899"/>
      <c r="Q248" s="893"/>
      <c r="R248" s="893"/>
      <c r="S248" s="940"/>
      <c r="T248" s="893"/>
      <c r="U248" s="893"/>
      <c r="V248" s="893"/>
      <c r="W248" s="893"/>
      <c r="Z248" s="893"/>
      <c r="AA248" s="893"/>
      <c r="AB248" s="893"/>
      <c r="AC248" s="893"/>
      <c r="AD248" s="893"/>
      <c r="AE248" s="893"/>
      <c r="AF248" s="893"/>
      <c r="AG248" s="893"/>
      <c r="AH248" s="893"/>
      <c r="AI248" s="893"/>
      <c r="AJ248" s="893"/>
      <c r="AK248" s="893"/>
      <c r="AL248" s="893"/>
      <c r="AM248" s="893"/>
      <c r="AN248" s="893"/>
      <c r="AO248" s="893"/>
      <c r="AP248" s="893"/>
      <c r="AQ248" s="893"/>
      <c r="AR248" s="893"/>
      <c r="AS248" s="893"/>
      <c r="AT248" s="893"/>
    </row>
    <row r="249" spans="1:46" s="897" customFormat="1" ht="11.25" customHeight="1">
      <c r="A249" s="932"/>
      <c r="B249" s="899"/>
      <c r="C249" s="893"/>
      <c r="D249" s="893"/>
      <c r="E249" s="893"/>
      <c r="F249" s="893"/>
      <c r="G249" s="893"/>
      <c r="H249" s="893"/>
      <c r="I249" s="893"/>
      <c r="J249" s="893"/>
      <c r="K249" s="893"/>
      <c r="L249" s="893"/>
      <c r="M249" s="899"/>
      <c r="N249" s="898"/>
      <c r="O249" s="898"/>
      <c r="P249" s="899"/>
      <c r="Q249" s="893"/>
      <c r="R249" s="893"/>
      <c r="S249" s="940"/>
      <c r="T249" s="893"/>
      <c r="U249" s="893"/>
      <c r="V249" s="893"/>
      <c r="W249" s="893"/>
      <c r="X249" s="893"/>
      <c r="Z249" s="893"/>
      <c r="AA249" s="893"/>
      <c r="AB249" s="893"/>
      <c r="AC249" s="893"/>
      <c r="AD249" s="893"/>
      <c r="AE249" s="893"/>
      <c r="AF249" s="893"/>
      <c r="AG249" s="893"/>
      <c r="AH249" s="893"/>
      <c r="AI249" s="893"/>
      <c r="AJ249" s="893"/>
      <c r="AK249" s="893"/>
      <c r="AL249" s="893"/>
      <c r="AM249" s="893"/>
      <c r="AN249" s="893"/>
      <c r="AO249" s="893"/>
      <c r="AP249" s="893"/>
      <c r="AQ249" s="893"/>
      <c r="AR249" s="893"/>
      <c r="AS249" s="893"/>
      <c r="AT249" s="893"/>
    </row>
    <row r="250" spans="1:46" s="898" customFormat="1" ht="11.25" customHeight="1">
      <c r="A250" s="932"/>
      <c r="B250" s="899"/>
      <c r="C250" s="893"/>
      <c r="D250" s="893"/>
      <c r="E250" s="893"/>
      <c r="F250" s="893"/>
      <c r="G250" s="893"/>
      <c r="H250" s="893"/>
      <c r="I250" s="893"/>
      <c r="J250" s="893"/>
      <c r="K250" s="893"/>
      <c r="L250" s="893"/>
      <c r="M250" s="899"/>
      <c r="P250" s="899"/>
      <c r="Q250" s="893"/>
      <c r="R250" s="893"/>
      <c r="S250" s="940"/>
      <c r="T250" s="893"/>
      <c r="U250" s="893"/>
      <c r="V250" s="893"/>
      <c r="W250" s="893"/>
      <c r="X250" s="893"/>
      <c r="Y250" s="897"/>
      <c r="Z250" s="893"/>
      <c r="AA250" s="893"/>
      <c r="AB250" s="893"/>
      <c r="AC250" s="893"/>
      <c r="AD250" s="893"/>
      <c r="AE250" s="893"/>
      <c r="AF250" s="893"/>
      <c r="AG250" s="893"/>
      <c r="AH250" s="893"/>
      <c r="AI250" s="893"/>
      <c r="AJ250" s="893"/>
      <c r="AK250" s="893"/>
      <c r="AL250" s="893"/>
      <c r="AM250" s="893"/>
      <c r="AN250" s="893"/>
      <c r="AO250" s="893"/>
      <c r="AP250" s="893"/>
      <c r="AQ250" s="893"/>
      <c r="AR250" s="893"/>
      <c r="AS250" s="893"/>
      <c r="AT250" s="893"/>
    </row>
    <row r="251" spans="1:46" s="898" customFormat="1" ht="11.25" customHeight="1">
      <c r="A251" s="932"/>
      <c r="B251" s="899"/>
      <c r="C251" s="893"/>
      <c r="D251" s="893"/>
      <c r="E251" s="893"/>
      <c r="F251" s="893"/>
      <c r="G251" s="893"/>
      <c r="H251" s="893"/>
      <c r="I251" s="893"/>
      <c r="J251" s="893"/>
      <c r="K251" s="893"/>
      <c r="L251" s="893"/>
      <c r="M251" s="899"/>
      <c r="P251" s="899"/>
      <c r="Q251" s="893"/>
      <c r="R251" s="893"/>
      <c r="S251" s="940"/>
      <c r="T251" s="893"/>
      <c r="U251" s="893"/>
      <c r="V251" s="893"/>
      <c r="W251" s="893"/>
      <c r="X251" s="893"/>
      <c r="Y251" s="897"/>
      <c r="Z251" s="893"/>
      <c r="AA251" s="893"/>
      <c r="AB251" s="893"/>
      <c r="AC251" s="893"/>
      <c r="AD251" s="893"/>
      <c r="AE251" s="893"/>
      <c r="AF251" s="893"/>
      <c r="AG251" s="893"/>
      <c r="AH251" s="893"/>
      <c r="AI251" s="893"/>
      <c r="AJ251" s="893"/>
      <c r="AK251" s="893"/>
      <c r="AL251" s="893"/>
      <c r="AM251" s="893"/>
      <c r="AN251" s="893"/>
      <c r="AO251" s="893"/>
      <c r="AP251" s="893"/>
      <c r="AQ251" s="893"/>
      <c r="AR251" s="893"/>
      <c r="AS251" s="893"/>
      <c r="AT251" s="893"/>
    </row>
    <row r="252" spans="1:46" s="898" customFormat="1" ht="11.25" customHeight="1">
      <c r="A252" s="932"/>
      <c r="B252" s="899"/>
      <c r="C252" s="893"/>
      <c r="D252" s="893"/>
      <c r="E252" s="893"/>
      <c r="F252" s="893"/>
      <c r="G252" s="893"/>
      <c r="H252" s="893"/>
      <c r="I252" s="893"/>
      <c r="J252" s="893"/>
      <c r="K252" s="893"/>
      <c r="L252" s="893"/>
      <c r="M252" s="899"/>
      <c r="P252" s="899"/>
      <c r="Q252" s="893"/>
      <c r="R252" s="893"/>
      <c r="S252" s="940"/>
      <c r="T252" s="893"/>
      <c r="U252" s="893"/>
      <c r="V252" s="893"/>
      <c r="W252" s="893"/>
      <c r="X252" s="893"/>
      <c r="Y252" s="897"/>
      <c r="Z252" s="893"/>
      <c r="AA252" s="893"/>
      <c r="AB252" s="893"/>
      <c r="AC252" s="893"/>
      <c r="AD252" s="893"/>
      <c r="AE252" s="893"/>
      <c r="AF252" s="893"/>
      <c r="AG252" s="893"/>
      <c r="AH252" s="893"/>
      <c r="AI252" s="893"/>
      <c r="AJ252" s="893"/>
      <c r="AK252" s="893"/>
      <c r="AL252" s="893"/>
      <c r="AM252" s="893"/>
      <c r="AN252" s="893"/>
      <c r="AO252" s="893"/>
      <c r="AP252" s="893"/>
      <c r="AQ252" s="893"/>
      <c r="AR252" s="893"/>
      <c r="AS252" s="893"/>
      <c r="AT252" s="893"/>
    </row>
    <row r="253" spans="1:46" s="898" customFormat="1" ht="11.25" customHeight="1">
      <c r="A253" s="932"/>
      <c r="B253" s="897"/>
      <c r="C253" s="893"/>
      <c r="D253" s="893"/>
      <c r="E253" s="893"/>
      <c r="F253" s="893"/>
      <c r="G253" s="893"/>
      <c r="H253" s="893"/>
      <c r="I253" s="893"/>
      <c r="J253" s="893"/>
      <c r="K253" s="893"/>
      <c r="L253" s="893"/>
      <c r="M253" s="893"/>
      <c r="P253" s="899"/>
      <c r="Q253" s="893"/>
      <c r="R253" s="893"/>
      <c r="S253" s="940"/>
      <c r="T253" s="893"/>
      <c r="U253" s="893"/>
      <c r="V253" s="893"/>
      <c r="W253" s="893"/>
      <c r="X253" s="893"/>
      <c r="Y253" s="897"/>
      <c r="Z253" s="893"/>
      <c r="AA253" s="893"/>
      <c r="AB253" s="893"/>
      <c r="AC253" s="893"/>
      <c r="AD253" s="893"/>
      <c r="AE253" s="893"/>
      <c r="AF253" s="893"/>
      <c r="AG253" s="893"/>
      <c r="AH253" s="893"/>
      <c r="AI253" s="893"/>
      <c r="AJ253" s="893"/>
      <c r="AK253" s="893"/>
      <c r="AL253" s="893"/>
      <c r="AM253" s="893"/>
      <c r="AN253" s="893"/>
      <c r="AO253" s="893"/>
      <c r="AP253" s="893"/>
      <c r="AQ253" s="893"/>
      <c r="AR253" s="893"/>
      <c r="AS253" s="893"/>
      <c r="AT253" s="893"/>
    </row>
    <row r="254" spans="1:46" s="898" customFormat="1" ht="11.25" customHeight="1">
      <c r="A254" s="932"/>
      <c r="B254" s="897"/>
      <c r="C254" s="893"/>
      <c r="D254" s="893"/>
      <c r="E254" s="893"/>
      <c r="F254" s="893"/>
      <c r="G254" s="893"/>
      <c r="H254" s="893"/>
      <c r="I254" s="893"/>
      <c r="J254" s="893"/>
      <c r="K254" s="893"/>
      <c r="L254" s="893"/>
      <c r="M254" s="893"/>
      <c r="P254" s="899"/>
      <c r="Q254" s="893"/>
      <c r="R254" s="893"/>
      <c r="S254" s="940"/>
      <c r="T254" s="893"/>
      <c r="U254" s="893"/>
      <c r="V254" s="893"/>
      <c r="W254" s="893"/>
      <c r="X254" s="893"/>
      <c r="Y254" s="897"/>
      <c r="Z254" s="893"/>
      <c r="AA254" s="893"/>
      <c r="AB254" s="893"/>
      <c r="AC254" s="893"/>
      <c r="AD254" s="893"/>
      <c r="AE254" s="893"/>
      <c r="AF254" s="893"/>
      <c r="AG254" s="893"/>
      <c r="AH254" s="893"/>
      <c r="AI254" s="893"/>
      <c r="AJ254" s="893"/>
      <c r="AK254" s="893"/>
      <c r="AL254" s="893"/>
      <c r="AM254" s="893"/>
      <c r="AN254" s="893"/>
      <c r="AO254" s="893"/>
      <c r="AP254" s="893"/>
      <c r="AQ254" s="893"/>
      <c r="AR254" s="893"/>
      <c r="AS254" s="893"/>
      <c r="AT254" s="893"/>
    </row>
    <row r="255" spans="1:46" s="898" customFormat="1" ht="11.25" customHeight="1">
      <c r="A255" s="932"/>
      <c r="B255" s="897"/>
      <c r="C255" s="932"/>
      <c r="D255" s="932"/>
      <c r="E255" s="932"/>
      <c r="F255" s="932"/>
      <c r="G255" s="932"/>
      <c r="H255" s="932"/>
      <c r="I255" s="932"/>
      <c r="J255" s="932"/>
      <c r="K255" s="932"/>
      <c r="L255" s="932"/>
      <c r="M255" s="932"/>
      <c r="P255" s="899"/>
      <c r="Q255" s="893"/>
      <c r="R255" s="893"/>
      <c r="S255" s="940"/>
      <c r="T255" s="893"/>
      <c r="U255" s="893"/>
      <c r="V255" s="893"/>
      <c r="W255" s="893"/>
      <c r="X255" s="893"/>
      <c r="Y255" s="897"/>
      <c r="Z255" s="893"/>
      <c r="AA255" s="893"/>
      <c r="AB255" s="893"/>
      <c r="AC255" s="893"/>
      <c r="AD255" s="893"/>
      <c r="AE255" s="893"/>
      <c r="AF255" s="893"/>
      <c r="AG255" s="893"/>
      <c r="AH255" s="893"/>
      <c r="AI255" s="893"/>
      <c r="AJ255" s="893"/>
      <c r="AK255" s="893"/>
      <c r="AL255" s="893"/>
      <c r="AM255" s="893"/>
      <c r="AN255" s="893"/>
      <c r="AO255" s="893"/>
      <c r="AP255" s="893"/>
      <c r="AQ255" s="893"/>
      <c r="AR255" s="893"/>
      <c r="AS255" s="893"/>
      <c r="AT255" s="893"/>
    </row>
    <row r="256" spans="1:46" s="898" customFormat="1" ht="11.25" customHeight="1">
      <c r="A256" s="932"/>
      <c r="B256" s="897"/>
      <c r="C256" s="932"/>
      <c r="D256" s="932"/>
      <c r="E256" s="932"/>
      <c r="F256" s="932"/>
      <c r="G256" s="932"/>
      <c r="H256" s="932"/>
      <c r="I256" s="932"/>
      <c r="J256" s="932"/>
      <c r="K256" s="932"/>
      <c r="L256" s="932"/>
      <c r="M256" s="932"/>
      <c r="P256" s="899"/>
      <c r="Q256" s="893"/>
      <c r="R256" s="893"/>
      <c r="S256" s="940"/>
      <c r="T256" s="893"/>
      <c r="U256" s="893"/>
      <c r="V256" s="893"/>
      <c r="W256" s="893"/>
      <c r="X256" s="893"/>
      <c r="Y256" s="897"/>
      <c r="Z256" s="893"/>
      <c r="AA256" s="893"/>
      <c r="AB256" s="893"/>
      <c r="AC256" s="893"/>
      <c r="AD256" s="893"/>
      <c r="AE256" s="893"/>
      <c r="AF256" s="893"/>
      <c r="AG256" s="893"/>
      <c r="AH256" s="893"/>
      <c r="AI256" s="893"/>
      <c r="AJ256" s="893"/>
      <c r="AK256" s="893"/>
      <c r="AL256" s="893"/>
      <c r="AM256" s="893"/>
      <c r="AN256" s="893"/>
      <c r="AO256" s="893"/>
      <c r="AP256" s="893"/>
      <c r="AQ256" s="893"/>
      <c r="AR256" s="893"/>
      <c r="AS256" s="893"/>
      <c r="AT256" s="893"/>
    </row>
  </sheetData>
  <mergeCells count="2">
    <mergeCell ref="C159:M159"/>
    <mergeCell ref="C160:M160"/>
  </mergeCells>
  <pageMargins left="0.2" right="0.2" top="0.75" bottom="0.75" header="0.3" footer="0.3"/>
  <pageSetup scale="26"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88ffb1c-9230-4705-a789-27bae69f5829">
      <Terms xmlns="http://schemas.microsoft.com/office/infopath/2007/PartnerControls"/>
    </lcf76f155ced4ddcb4097134ff3c332f>
    <TaxCatchAll xmlns="b6888f76-1100-40b0-929b-1efe9044426d" xsi:nil="true"/>
    <Notes xmlns="f88ffb1c-9230-4705-a789-27bae69f5829" xsi:nil="true"/>
    <OriginalFileDate xmlns="f88ffb1c-9230-4705-a789-27bae69f5829" xsi:nil="true"/>
    <Owner xmlns="f88ffb1c-9230-4705-a789-27bae69f5829">
      <UserInfo>
        <DisplayName/>
        <AccountId xsi:nil="true"/>
        <AccountType/>
      </UserInfo>
    </Owner>
    <DueDate xmlns="f88ffb1c-9230-4705-a789-27bae69f5829" xsi:nil="true"/>
    <_Flow_SignoffStatus xmlns="f88ffb1c-9230-4705-a789-27bae69f5829" xsi:nil="true"/>
  </documentManagement>
</p:properties>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iAvPjxVc2VyTmFtZT5DT1JQXHMyOTExMjU8L1VzZXJOYW1lPjxEYXRlVGltZT45LzEwLzIwMjUgMzoyNzozOCBQTTwvRGF0ZVRpbWU+PExhYmVsU3RyaW5nPlVuY2xhc3NpZmllZDwvTGFiZWxTdHJpbmc+PC9pdGVtPjxpdGVtPjxzaXNsIHNpc2xWZXJzaW9uPSIwIiBwb2xpY3k9ImU5YzBiOGQ3LWJkYjQtNGZkMy1iNjJhLWY1MDMyN2FhZWZjZSIgb3JpZ2luPSJ1c2VyU2VsZWN0ZWQiPjxlbGVtZW50IHVpZD0iOTM2ZTIyZDUtNDVhNy00Y2I3LTk1YWItMWFhOGM3Yzg4Nzg5IiB2YWx1ZT0iIiB4bWxucz0iaHR0cDovL3d3dy5ib2xkb25qYW1lcy5jb20vMjAwOC8wMS9zaWUvaW50ZXJuYWwvbGFiZWwiIC8+PGVsZW1lbnQgdWlkPSJkMTRmNWMzNi1mNDRhLTQzMTUtYjQzOC0wMDVjZmU4ZjA2OWYiIHZhbHVlPSIiIHhtbG5zPSJodHRwOi8vd3d3LmJvbGRvbmphbWVzLmNvbS8yMDA4LzAxL3NpZS9pbnRlcm5hbC9sYWJlbCIgLz48L3Npc2w+PFVzZXJOYW1lPkNPUlBcczI5MTEyNTwvVXNlck5hbWU+PERhdGVUaW1lPjkvMTAvMjAyNSAzOjI3OjQyIFBNPC9EYXRlVGltZT48TGFiZWxTdHJpbmc+VW5jYXRlZ29yaXplZDwvTGFiZWxTdHJpbmc+PC9pdGVtPjwvbGFiZWxIaXN0b3J5Pg==</Value>
</WrappedLabelHistory>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4DF805D1E1DA4A49A223477D3B105720" ma:contentTypeVersion="20" ma:contentTypeDescription="Create a new document." ma:contentTypeScope="" ma:versionID="37e8545f9097af293d07877c154c5451">
  <xsd:schema xmlns:xsd="http://www.w3.org/2001/XMLSchema" xmlns:xs="http://www.w3.org/2001/XMLSchema" xmlns:p="http://schemas.microsoft.com/office/2006/metadata/properties" xmlns:ns2="f88ffb1c-9230-4705-a789-27bae69f5829" xmlns:ns3="b6888f76-1100-40b0-929b-1efe9044426d" targetNamespace="http://schemas.microsoft.com/office/2006/metadata/properties" ma:root="true" ma:fieldsID="8edfe77cef90f9ce79cdb433746aba48" ns2:_="" ns3:_="">
    <xsd:import namespace="f88ffb1c-9230-4705-a789-27bae69f5829"/>
    <xsd:import namespace="b6888f76-1100-40b0-929b-1efe904442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Owner" minOccurs="0"/>
                <xsd:element ref="ns2:Notes" minOccurs="0"/>
                <xsd:element ref="ns2:OriginalFileDate" minOccurs="0"/>
                <xsd:element ref="ns2:_Flow_SignoffStatus" minOccurs="0"/>
                <xsd:element ref="ns2:DueDat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8ffb1c-9230-4705-a789-27bae69f58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fefa54f2-5b03-49c6-9483-51c08a9736b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Owner" ma:index="22" nillable="true" ma:displayName="Owner" ma:format="Dropdown" ma:list="UserInfo" ma:SharePointGroup="0"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Notes" ma:index="23" nillable="true" ma:displayName="Notes" ma:format="Dropdown" ma:internalName="Notes">
      <xsd:simpleType>
        <xsd:restriction base="dms:Text">
          <xsd:maxLength value="255"/>
        </xsd:restriction>
      </xsd:simpleType>
    </xsd:element>
    <xsd:element name="OriginalFileDate" ma:index="24" nillable="true" ma:displayName="Original File Date" ma:format="DateOnly" ma:internalName="OriginalFileDate">
      <xsd:simpleType>
        <xsd:restriction base="dms:DateTime"/>
      </xsd:simpleType>
    </xsd:element>
    <xsd:element name="_Flow_SignoffStatus" ma:index="25" nillable="true" ma:displayName="Sign-off status" ma:internalName="_x0024_Resources_x003a_core_x002c_Signoff_Status">
      <xsd:simpleType>
        <xsd:restriction base="dms:Text"/>
      </xsd:simpleType>
    </xsd:element>
    <xsd:element name="DueDate" ma:index="26" nillable="true" ma:displayName="Due Date" ma:format="DateOnly" ma:indexed="true" ma:internalName="DueDate">
      <xsd:simpleType>
        <xsd:restriction base="dms:DateTime"/>
      </xsd:simpleType>
    </xsd:element>
    <xsd:element name="MediaServiceLocation" ma:index="27"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888f76-1100-40b0-929b-1efe9044426d"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6b0cac33-65cc-488e-b290-aff2b08f7242}" ma:internalName="TaxCatchAll" ma:showField="CatchAllData" ma:web="b6888f76-1100-40b0-929b-1efe904442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sisl xmlns:xsd="http://www.w3.org/2001/XMLSchema" xmlns:xsi="http://www.w3.org/2001/XMLSchema-instance" xmlns="http://www.boldonjames.com/2008/01/sie/internal/label" sislVersion="0" policy="e9c0b8d7-bdb4-4fd3-b62a-f50327aaefce" origin="userSelected">
  <element uid="936e22d5-45a7-4cb7-95ab-1aa8c7c88789" value=""/>
  <element uid="d14f5c36-f44a-4315-b438-005cfe8f069f" value=""/>
</sisl>
</file>

<file path=customXml/itemProps1.xml><?xml version="1.0" encoding="utf-8"?>
<ds:datastoreItem xmlns:ds="http://schemas.openxmlformats.org/officeDocument/2006/customXml" ds:itemID="{F9E61569-1516-4B23-8E7E-027581B54CEA}">
  <ds:schemaRefs>
    <ds:schemaRef ds:uri="http://www.w3.org/XML/1998/namespace"/>
    <ds:schemaRef ds:uri="http://purl.org/dc/dcmitype/"/>
    <ds:schemaRef ds:uri="b6888f76-1100-40b0-929b-1efe9044426d"/>
    <ds:schemaRef ds:uri="http://purl.org/dc/elements/1.1/"/>
    <ds:schemaRef ds:uri="http://schemas.openxmlformats.org/package/2006/metadata/core-properties"/>
    <ds:schemaRef ds:uri="f88ffb1c-9230-4705-a789-27bae69f5829"/>
    <ds:schemaRef ds:uri="http://schemas.microsoft.com/office/2006/documentManagement/types"/>
    <ds:schemaRef ds:uri="http://purl.org/dc/terms/"/>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B4C4CA24-9B3E-484A-9B6C-18ABD4027302}">
  <ds:schemaRefs>
    <ds:schemaRef ds:uri="http://www.w3.org/2001/XMLSchema"/>
    <ds:schemaRef ds:uri="http://www.boldonjames.com/2016/02/Classifier/internal/wrappedLabelHistory"/>
  </ds:schemaRefs>
</ds:datastoreItem>
</file>

<file path=customXml/itemProps3.xml><?xml version="1.0" encoding="utf-8"?>
<ds:datastoreItem xmlns:ds="http://schemas.openxmlformats.org/officeDocument/2006/customXml" ds:itemID="{D1303C1E-B4BB-425E-8B40-6497F63D28DB}">
  <ds:schemaRefs>
    <ds:schemaRef ds:uri="http://schemas.microsoft.com/sharepoint/v3/contenttype/forms"/>
  </ds:schemaRefs>
</ds:datastoreItem>
</file>

<file path=customXml/itemProps4.xml><?xml version="1.0" encoding="utf-8"?>
<ds:datastoreItem xmlns:ds="http://schemas.openxmlformats.org/officeDocument/2006/customXml" ds:itemID="{0E5CA967-55F8-440B-999E-82507DDEA5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8ffb1c-9230-4705-a789-27bae69f5829"/>
    <ds:schemaRef ds:uri="b6888f76-1100-40b0-929b-1efe904442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6F0306C7-0027-4032-98DE-E9CE85A5A968}">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42</vt:i4>
      </vt:variant>
      <vt:variant>
        <vt:lpstr>Named Ranges</vt:lpstr>
      </vt:variant>
      <vt:variant>
        <vt:i4>35</vt:i4>
      </vt:variant>
    </vt:vector>
  </HeadingPairs>
  <TitlesOfParts>
    <vt:vector size="77" baseType="lpstr">
      <vt:lpstr>Figure 1 </vt:lpstr>
      <vt:lpstr>WP - Fig. 1</vt:lpstr>
      <vt:lpstr>Figure 2 </vt:lpstr>
      <vt:lpstr>Figure 3</vt:lpstr>
      <vt:lpstr>Figures 4 &amp; 11</vt:lpstr>
      <vt:lpstr>Figure 5</vt:lpstr>
      <vt:lpstr>Figure 6</vt:lpstr>
      <vt:lpstr>Figure 6-2025 WP</vt:lpstr>
      <vt:lpstr>Figure 6-2024 WP</vt:lpstr>
      <vt:lpstr>Figure 6-2023 WP</vt:lpstr>
      <vt:lpstr>Figures 9 &amp; 10</vt:lpstr>
      <vt:lpstr>Proxy Group Criteria</vt:lpstr>
      <vt:lpstr>Proxy Group Ticker</vt:lpstr>
      <vt:lpstr>Exhibit List</vt:lpstr>
      <vt:lpstr>2</vt:lpstr>
      <vt:lpstr>3 (1)</vt:lpstr>
      <vt:lpstr>3 (2-4)</vt:lpstr>
      <vt:lpstr>3 (5-6)</vt:lpstr>
      <vt:lpstr>4 (1-2)</vt:lpstr>
      <vt:lpstr> 4 (3)</vt:lpstr>
      <vt:lpstr>5 (1)</vt:lpstr>
      <vt:lpstr>5 (2)</vt:lpstr>
      <vt:lpstr>5 (3)</vt:lpstr>
      <vt:lpstr>6</vt:lpstr>
      <vt:lpstr>7</vt:lpstr>
      <vt:lpstr>8</vt:lpstr>
      <vt:lpstr>9 (1)</vt:lpstr>
      <vt:lpstr>9 (2)</vt:lpstr>
      <vt:lpstr>9 (3)</vt:lpstr>
      <vt:lpstr>10</vt:lpstr>
      <vt:lpstr>11</vt:lpstr>
      <vt:lpstr>12 (1)</vt:lpstr>
      <vt:lpstr>12 (2)</vt:lpstr>
      <vt:lpstr>12 (3)</vt:lpstr>
      <vt:lpstr>Proxy Group Risk Measures</vt:lpstr>
      <vt:lpstr>Stock Price (Utility)</vt:lpstr>
      <vt:lpstr>Stock Price (Non-Utility)</vt:lpstr>
      <vt:lpstr>2025 05 Market DCF</vt:lpstr>
      <vt:lpstr>Bond Yields</vt:lpstr>
      <vt:lpstr>Electric Utility Data</vt:lpstr>
      <vt:lpstr>Kroll Size Adjustment</vt:lpstr>
      <vt:lpstr>Ordinal Ratings</vt:lpstr>
      <vt:lpstr>' 4 (3)'!Print_Area</vt:lpstr>
      <vt:lpstr>'10'!Print_Area</vt:lpstr>
      <vt:lpstr>'11'!Print_Area</vt:lpstr>
      <vt:lpstr>'12 (1)'!Print_Area</vt:lpstr>
      <vt:lpstr>'12 (2)'!Print_Area</vt:lpstr>
      <vt:lpstr>'12 (3)'!Print_Area</vt:lpstr>
      <vt:lpstr>'2'!Print_Area</vt:lpstr>
      <vt:lpstr>'2025 05 Market DCF'!Print_Area</vt:lpstr>
      <vt:lpstr>'3 (1)'!Print_Area</vt:lpstr>
      <vt:lpstr>'3 (2-4)'!Print_Area</vt:lpstr>
      <vt:lpstr>'3 (5-6)'!Print_Area</vt:lpstr>
      <vt:lpstr>'4 (1-2)'!Print_Area</vt:lpstr>
      <vt:lpstr>'5 (1)'!Print_Area</vt:lpstr>
      <vt:lpstr>'5 (2)'!Print_Area</vt:lpstr>
      <vt:lpstr>'5 (3)'!Print_Area</vt:lpstr>
      <vt:lpstr>'6'!Print_Area</vt:lpstr>
      <vt:lpstr>'7'!Print_Area</vt:lpstr>
      <vt:lpstr>'8'!Print_Area</vt:lpstr>
      <vt:lpstr>'9 (1)'!Print_Area</vt:lpstr>
      <vt:lpstr>'9 (2)'!Print_Area</vt:lpstr>
      <vt:lpstr>'9 (3)'!Print_Area</vt:lpstr>
      <vt:lpstr>'Figure 3'!Print_Area</vt:lpstr>
      <vt:lpstr>'Figure 6-2023 WP'!Print_Area</vt:lpstr>
      <vt:lpstr>'Figure 6-2024 WP'!Print_Area</vt:lpstr>
      <vt:lpstr>'Figure 6-2025 WP'!Print_Area</vt:lpstr>
      <vt:lpstr>'Proxy Group Criteria'!Print_Area</vt:lpstr>
      <vt:lpstr>'Proxy Group Risk Measures'!Print_Area</vt:lpstr>
      <vt:lpstr>'WP - Fig. 1'!Print_Area</vt:lpstr>
      <vt:lpstr>'2025 05 Market DCF'!Print_Titles</vt:lpstr>
      <vt:lpstr>'3 (2-4)'!Print_Titles</vt:lpstr>
      <vt:lpstr>'3 (5-6)'!Print_Titles</vt:lpstr>
      <vt:lpstr>'4 (1-2)'!Print_Titles</vt:lpstr>
      <vt:lpstr>Proxysort</vt:lpstr>
      <vt:lpstr>stockprice</vt:lpstr>
      <vt:lpstr>vldatabase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Adrien McKenzie</dc:creator>
  <cp:keywords/>
  <dc:description/>
  <cp:lastModifiedBy>Michelle Caldwell</cp:lastModifiedBy>
  <cp:revision/>
  <cp:lastPrinted>2025-08-22T19:32:27Z</cp:lastPrinted>
  <dcterms:created xsi:type="dcterms:W3CDTF">2017-04-26T18:43:20Z</dcterms:created>
  <dcterms:modified xsi:type="dcterms:W3CDTF">2025-09-12T20:55:26Z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0x0101004DF805D1E1DA4A49A223477D3B105720</vt:lpwstr>
  </property>
  <property fmtid="{D5CDD505-2E9C-101B-9397-08002B2CF9AE}" pid="3" name="docIndexRef">
    <vt:lpwstr>7bd2fa9b-4c39-4e9f-94ce-6d21509ae56f</vt:lpwstr>
  </property>
  <property fmtid="{D5CDD505-2E9C-101B-9397-08002B2CF9AE}" pid="4" name="bjSaver">
    <vt:lpwstr>Ionro7JKtzEC6sKG52gn2o2Bw6S2sA9J</vt:lpwstr>
  </property>
  <property fmtid="{D5CDD505-2E9C-101B-9397-08002B2CF9AE}" pid="5" name="bjClsUserRVM">
    <vt:lpwstr>[]</vt:lpwstr>
  </property>
  <property fmtid="{D5CDD505-2E9C-101B-9397-08002B2CF9AE}" pid="6" name="bjDocumentLabelXML">
    <vt:lpwstr>&lt;?xml version="1.0" encoding="us-ascii"?&gt;&lt;sisl xmlns:xsd="http://www.w3.org/2001/XMLSchema" xmlns:xsi="http://www.w3.org/2001/XMLSchema-instance" sislVersion="0" policy="e9c0b8d7-bdb4-4fd3-b62a-f50327aaefce" origin="userSelected" xmlns="http://www.boldonj</vt:lpwstr>
  </property>
  <property fmtid="{D5CDD505-2E9C-101B-9397-08002B2CF9AE}" pid="7" name="bjDocumentLabelXML-0">
    <vt:lpwstr>ames.com/2008/01/sie/internal/label"&gt;&lt;element uid="936e22d5-45a7-4cb7-95ab-1aa8c7c88789" value="" /&gt;&lt;element uid="d14f5c36-f44a-4315-b438-005cfe8f069f" value="" /&gt;&lt;/sisl&gt;</vt:lpwstr>
  </property>
  <property fmtid="{D5CDD505-2E9C-101B-9397-08002B2CF9AE}" pid="8" name="bjDocumentSecurityLabel">
    <vt:lpwstr>Uncategorized</vt:lpwstr>
  </property>
  <property fmtid="{D5CDD505-2E9C-101B-9397-08002B2CF9AE}" pid="9" name="MSIP_Label_574d496c-7ac4-4b13-81fd-698eca66b217_SiteId">
    <vt:lpwstr>15f3c881-6b03-4ff6-8559-77bf5177818f</vt:lpwstr>
  </property>
  <property fmtid="{D5CDD505-2E9C-101B-9397-08002B2CF9AE}" pid="10" name="MSIP_Label_574d496c-7ac4-4b13-81fd-698eca66b217_Name">
    <vt:lpwstr>Uncategorized</vt:lpwstr>
  </property>
  <property fmtid="{D5CDD505-2E9C-101B-9397-08002B2CF9AE}" pid="11" name="MSIP_Label_574d496c-7ac4-4b13-81fd-698eca66b217_Enabled">
    <vt:lpwstr>true</vt:lpwstr>
  </property>
  <property fmtid="{D5CDD505-2E9C-101B-9397-08002B2CF9AE}" pid="12" name="bjLabelHistoryID">
    <vt:lpwstr>{B4C4CA24-9B3E-484A-9B6C-18ABD4027302}</vt:lpwstr>
  </property>
  <property fmtid="{D5CDD505-2E9C-101B-9397-08002B2CF9AE}" pid="13" name="MediaServiceImageTags">
    <vt:lpwstr/>
  </property>
</Properties>
</file>