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4 Testimony - Direct &amp; Application/Cullop/Workpapers/"/>
    </mc:Choice>
  </mc:AlternateContent>
  <xr:revisionPtr revIDLastSave="3" documentId="13_ncr:1_{AABFBB93-F626-4D0F-888B-2815D8E60DFF}" xr6:coauthVersionLast="47" xr6:coauthVersionMax="47" xr10:uidLastSave="{CC319D4B-1443-40DF-880B-26AF0C5074BE}"/>
  <bookViews>
    <workbookView xWindow="38280" yWindow="-120" windowWidth="38640" windowHeight="21120" xr2:uid="{6BE51C1B-AEC4-403C-9C8D-27F5C173668E}"/>
  </bookViews>
  <sheets>
    <sheet name="W09-Fuel Synchronization" sheetId="2" r:id="rId1"/>
    <sheet name="Fuel OU worksheet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L46" i="1" s="1"/>
  <c r="L49" i="1" s="1"/>
  <c r="AF42" i="1" l="1"/>
  <c r="E12" i="2" s="1"/>
  <c r="V42" i="1" l="1"/>
  <c r="P42" i="1"/>
  <c r="E16" i="2" s="1"/>
  <c r="H42" i="1"/>
  <c r="F42" i="1"/>
  <c r="AB40" i="1"/>
  <c r="T40" i="1"/>
  <c r="J40" i="1"/>
  <c r="N40" i="1" s="1"/>
  <c r="R40" i="1" s="1"/>
  <c r="AB38" i="1"/>
  <c r="T38" i="1"/>
  <c r="J38" i="1"/>
  <c r="N38" i="1" s="1"/>
  <c r="R38" i="1" s="1"/>
  <c r="AD36" i="1"/>
  <c r="AB36" i="1"/>
  <c r="T36" i="1"/>
  <c r="J36" i="1"/>
  <c r="N36" i="1" s="1"/>
  <c r="R36" i="1" s="1"/>
  <c r="AB34" i="1"/>
  <c r="T34" i="1"/>
  <c r="J34" i="1"/>
  <c r="N34" i="1" s="1"/>
  <c r="R34" i="1" s="1"/>
  <c r="AB32" i="1"/>
  <c r="T32" i="1"/>
  <c r="J32" i="1"/>
  <c r="N32" i="1" s="1"/>
  <c r="R32" i="1" s="1"/>
  <c r="AB30" i="1"/>
  <c r="T30" i="1"/>
  <c r="J30" i="1"/>
  <c r="N30" i="1" s="1"/>
  <c r="R30" i="1" s="1"/>
  <c r="AB28" i="1"/>
  <c r="T28" i="1"/>
  <c r="J28" i="1"/>
  <c r="N28" i="1" s="1"/>
  <c r="R28" i="1" s="1"/>
  <c r="AB26" i="1"/>
  <c r="T26" i="1"/>
  <c r="J26" i="1"/>
  <c r="N26" i="1" s="1"/>
  <c r="R26" i="1" s="1"/>
  <c r="AB24" i="1"/>
  <c r="T24" i="1"/>
  <c r="J24" i="1"/>
  <c r="N24" i="1" s="1"/>
  <c r="R24" i="1" s="1"/>
  <c r="AB22" i="1"/>
  <c r="T22" i="1"/>
  <c r="J22" i="1"/>
  <c r="N22" i="1" s="1"/>
  <c r="R22" i="1" s="1"/>
  <c r="AB20" i="1"/>
  <c r="T20" i="1"/>
  <c r="J20" i="1"/>
  <c r="N20" i="1" s="1"/>
  <c r="R20" i="1" s="1"/>
  <c r="AB18" i="1"/>
  <c r="T18" i="1"/>
  <c r="J18" i="1"/>
  <c r="N18" i="1" s="1"/>
  <c r="R18" i="1" s="1"/>
  <c r="T16" i="1"/>
  <c r="J16" i="1"/>
  <c r="N16" i="1" s="1"/>
  <c r="R16" i="1" s="1"/>
  <c r="T14" i="1"/>
  <c r="J14" i="1"/>
  <c r="N14" i="1" s="1"/>
  <c r="R14" i="1" s="1"/>
  <c r="E40" i="2" l="1"/>
  <c r="E15" i="2"/>
  <c r="E17" i="2" s="1"/>
  <c r="AH36" i="1"/>
  <c r="AJ36" i="1" s="1"/>
  <c r="AD40" i="1"/>
  <c r="AH40" i="1" s="1"/>
  <c r="AD38" i="1"/>
  <c r="AH38" i="1" s="1"/>
  <c r="AD32" i="1"/>
  <c r="AD22" i="1"/>
  <c r="AH22" i="1" s="1"/>
  <c r="AD26" i="1"/>
  <c r="AD28" i="1"/>
  <c r="AH28" i="1" s="1"/>
  <c r="AD34" i="1"/>
  <c r="AH34" i="1" s="1"/>
  <c r="AD24" i="1"/>
  <c r="AD30" i="1"/>
  <c r="AH30" i="1" s="1"/>
  <c r="AD20" i="1"/>
  <c r="AH20" i="1" s="1"/>
  <c r="AD18" i="1"/>
  <c r="AH18" i="1" s="1"/>
  <c r="R42" i="1"/>
  <c r="AB42" i="1"/>
  <c r="E11" i="2" s="1"/>
  <c r="J42" i="1"/>
  <c r="N42" i="1"/>
  <c r="AJ34" i="1" l="1"/>
  <c r="AJ22" i="1"/>
  <c r="AH32" i="1"/>
  <c r="AJ32" i="1" s="1"/>
  <c r="AJ30" i="1"/>
  <c r="AJ28" i="1"/>
  <c r="AJ20" i="1"/>
  <c r="AJ38" i="1"/>
  <c r="AH24" i="1"/>
  <c r="AJ24" i="1" s="1"/>
  <c r="AH26" i="1"/>
  <c r="AJ26" i="1" s="1"/>
  <c r="AJ40" i="1"/>
  <c r="AD42" i="1"/>
  <c r="E10" i="2" s="1"/>
  <c r="AJ18" i="1"/>
  <c r="E24" i="2" l="1"/>
  <c r="E25" i="2" s="1"/>
  <c r="E49" i="2" s="1"/>
  <c r="E13" i="2"/>
  <c r="E19" i="2" s="1"/>
  <c r="E22" i="2" s="1"/>
  <c r="E29" i="2" s="1"/>
  <c r="AJ42" i="1"/>
  <c r="AH42" i="1"/>
  <c r="E38" i="2" l="1"/>
  <c r="E52" i="2" s="1"/>
  <c r="E39" i="2" l="1"/>
  <c r="E41" i="2" s="1"/>
  <c r="E55" i="2" l="1"/>
  <c r="E56" i="2" s="1"/>
</calcChain>
</file>

<file path=xl/sharedStrings.xml><?xml version="1.0" encoding="utf-8"?>
<sst xmlns="http://schemas.openxmlformats.org/spreadsheetml/2006/main" count="154" uniqueCount="104">
  <si>
    <t>Kentucky Power Company</t>
  </si>
  <si>
    <t>Analysis of Over/(Under) Recovery of Fuel</t>
  </si>
  <si>
    <t>Test Year Ending May 31, 2025</t>
  </si>
  <si>
    <t>Juris.</t>
  </si>
  <si>
    <t xml:space="preserve"> </t>
  </si>
  <si>
    <t>Billed</t>
  </si>
  <si>
    <t>Total</t>
  </si>
  <si>
    <t>Dollars</t>
  </si>
  <si>
    <t>Base</t>
  </si>
  <si>
    <t>Over(Under)</t>
  </si>
  <si>
    <t>Olive Hill</t>
  </si>
  <si>
    <t>KWH</t>
  </si>
  <si>
    <t>Company</t>
  </si>
  <si>
    <t>Fuel</t>
  </si>
  <si>
    <t>Per</t>
  </si>
  <si>
    <t>Billed and</t>
  </si>
  <si>
    <t>F.A.C.</t>
  </si>
  <si>
    <t>Recovery</t>
  </si>
  <si>
    <t>Ln</t>
  </si>
  <si>
    <t>Vanceburg</t>
  </si>
  <si>
    <t>Sales</t>
  </si>
  <si>
    <t>Cost</t>
  </si>
  <si>
    <t>Deferred</t>
  </si>
  <si>
    <t>kWh</t>
  </si>
  <si>
    <t>Accrued</t>
  </si>
  <si>
    <t>FAC</t>
  </si>
  <si>
    <t>Revenue</t>
  </si>
  <si>
    <t>of Fuel</t>
  </si>
  <si>
    <t>No</t>
  </si>
  <si>
    <t>Month</t>
  </si>
  <si>
    <t>Year</t>
  </si>
  <si>
    <t>Month kWh Sales</t>
  </si>
  <si>
    <t>Sales   (kWh)</t>
  </si>
  <si>
    <t>(C4-C5)</t>
  </si>
  <si>
    <t>Cost*</t>
  </si>
  <si>
    <t>(C6*(C7/C4)</t>
  </si>
  <si>
    <t>(C8+C9)</t>
  </si>
  <si>
    <t>(C7/C4)</t>
  </si>
  <si>
    <t>(12*13)</t>
  </si>
  <si>
    <t>(12*14)</t>
  </si>
  <si>
    <t>(17-10)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</si>
  <si>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</si>
  <si>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</si>
  <si>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</si>
  <si>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</si>
  <si>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</si>
  <si>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</si>
  <si>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</si>
  <si>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</si>
  <si>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</si>
  <si>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</si>
  <si>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</si>
  <si>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</si>
  <si>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Jun 2024 - May 2025 Total</t>
  </si>
  <si>
    <t>Gas Res Fee</t>
  </si>
  <si>
    <t>PDAF</t>
  </si>
  <si>
    <t>Remaining Fuel</t>
  </si>
  <si>
    <t>EAF</t>
  </si>
  <si>
    <t>KY Retail Fuel Exp in JCOS</t>
  </si>
  <si>
    <t>Synchronize Fuel Expense</t>
  </si>
  <si>
    <t>Test Year Ended 5/31/2025</t>
  </si>
  <si>
    <t>Line</t>
  </si>
  <si>
    <t>No.</t>
  </si>
  <si>
    <t>Description</t>
  </si>
  <si>
    <t>Amount</t>
  </si>
  <si>
    <t>Fuel Adjustment Clause Revenue 44X</t>
  </si>
  <si>
    <t>Workpaper</t>
  </si>
  <si>
    <t>Base Fuel Revenue 44X</t>
  </si>
  <si>
    <t>Total Fuel Revenue 44X</t>
  </si>
  <si>
    <t>Total Fuel Expense in JCOS  501</t>
  </si>
  <si>
    <t>Deferred Fuel Expense 5010005</t>
  </si>
  <si>
    <t>Income Statement</t>
  </si>
  <si>
    <t>Total Fuel Expense</t>
  </si>
  <si>
    <t>TY Fuel Difference in JCOS</t>
  </si>
  <si>
    <t>Net Expense</t>
  </si>
  <si>
    <t>Synchronize TY Fuel in JCOS - 501005</t>
  </si>
  <si>
    <t>Specific Direct Assign 100% KY Retail Juris</t>
  </si>
  <si>
    <t>Decrease Fuel Expense</t>
  </si>
  <si>
    <t>Remove FAC Revenues from TY - 44X</t>
  </si>
  <si>
    <t>Decrease Firm Sales Revenue</t>
  </si>
  <si>
    <t>Offset FAC Revenue Removal in Fuel 501005</t>
  </si>
  <si>
    <t>Witness: John D. Cullop</t>
  </si>
  <si>
    <t>Credit</t>
  </si>
  <si>
    <t>FAC Credit</t>
  </si>
  <si>
    <t>(15+16+17)</t>
  </si>
  <si>
    <t>Further Adjustments to Going Level Fuel Expense After Incorporating Annualized Base Fuel Revenue</t>
  </si>
  <si>
    <t>Base Fuel Revenue - Annualized Billing Units and Base Fuel Rate</t>
  </si>
  <si>
    <t>Increase to TY Base Fuel</t>
  </si>
  <si>
    <t>Net Impact to Going-Level Fuel Expense</t>
  </si>
  <si>
    <t>Increase Fuel Expense to Sync Fuel Revenue and Expense</t>
  </si>
  <si>
    <t>Net Impact of Adjustment before Annualized Fuel and 1.0 Allocation</t>
  </si>
  <si>
    <t xml:space="preserve"> 7 - 4</t>
  </si>
  <si>
    <t xml:space="preserve"> 1 + 3</t>
  </si>
  <si>
    <t>(8)</t>
  </si>
  <si>
    <t>2 + 13</t>
  </si>
  <si>
    <t>Increase Fuel Expense - Allocation to 1.0</t>
  </si>
  <si>
    <t xml:space="preserve"> 12 + 14 - 15</t>
  </si>
  <si>
    <t>Adjusted fuel expense</t>
  </si>
  <si>
    <t>Adjusted Base Fuel Revenue</t>
  </si>
  <si>
    <t>Proof</t>
  </si>
  <si>
    <t>Difference</t>
  </si>
  <si>
    <t>Source: Revenue Proof, tab "Fuel Summary" cell Q65</t>
  </si>
  <si>
    <t>Amount included in Customer Annualization Adjustment</t>
  </si>
  <si>
    <t>W09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</si>
</sst>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0"/>
    <numFmt numFmtId="166" formatCode="_(* #,##0_);_(* \(#,##0\);_(* &quot;-&quot;??_);_(@_)"/>
    <numFmt numFmtId="167" formatCode="_(&quot;$&quot;* #,##0.0_);_(&quot;$&quot;* \(#,##0.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 val="double"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/>
    <xf numFmtId="6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3" fillId="0" borderId="0" xfId="0" applyFont="1"/>
    <xf numFmtId="3" fontId="4" fillId="0" borderId="0" xfId="0" applyNumberFormat="1" applyFont="1"/>
    <xf numFmtId="0" fontId="4" fillId="0" borderId="0" xfId="0" applyFont="1"/>
    <xf numFmtId="164" fontId="4" fillId="0" borderId="0" xfId="1" applyNumberFormat="1" applyFont="1"/>
    <xf numFmtId="44" fontId="0" fillId="0" borderId="0" xfId="1" applyFont="1"/>
    <xf numFmtId="44" fontId="0" fillId="0" borderId="1" xfId="1" applyFont="1" applyBorder="1"/>
    <xf numFmtId="166" fontId="0" fillId="0" borderId="0" xfId="2" applyNumberFormat="1" applyFont="1" applyAlignment="1">
      <alignment horizontal="center" vertical="center"/>
    </xf>
    <xf numFmtId="0" fontId="0" fillId="2" borderId="0" xfId="0" applyFill="1"/>
    <xf numFmtId="44" fontId="0" fillId="2" borderId="0" xfId="1" applyFont="1" applyFill="1"/>
    <xf numFmtId="0" fontId="0" fillId="0" borderId="0" xfId="0" applyAlignment="1">
      <alignment horizontal="center"/>
    </xf>
    <xf numFmtId="6" fontId="0" fillId="0" borderId="0" xfId="0" applyNumberFormat="1" applyFill="1"/>
    <xf numFmtId="0" fontId="0" fillId="0" borderId="0" xfId="0" applyFill="1"/>
    <xf numFmtId="164" fontId="0" fillId="3" borderId="0" xfId="0" applyNumberFormat="1" applyFill="1"/>
    <xf numFmtId="3" fontId="0" fillId="3" borderId="0" xfId="0" applyNumberFormat="1" applyFill="1"/>
    <xf numFmtId="6" fontId="0" fillId="3" borderId="0" xfId="0" applyNumberFormat="1" applyFill="1"/>
    <xf numFmtId="0" fontId="0" fillId="3" borderId="0" xfId="0" applyFill="1"/>
    <xf numFmtId="165" fontId="0" fillId="3" borderId="0" xfId="0" applyNumberFormat="1" applyFill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6" fontId="0" fillId="0" borderId="1" xfId="1" applyNumberFormat="1" applyFont="1" applyBorder="1"/>
    <xf numFmtId="0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7" fontId="0" fillId="0" borderId="0" xfId="1" applyNumberFormat="1" applyFont="1"/>
    <xf numFmtId="6" fontId="0" fillId="0" borderId="0" xfId="1" applyNumberFormat="1" applyFont="1" applyFill="1"/>
    <xf numFmtId="0" fontId="0" fillId="0" borderId="0" xfId="0" quotePrefix="1" applyAlignment="1">
      <alignment horizontal="center"/>
    </xf>
    <xf numFmtId="43" fontId="0" fillId="0" borderId="0" xfId="2" applyFont="1"/>
    <xf numFmtId="164" fontId="0" fillId="0" borderId="0" xfId="1" applyNumberFormat="1" applyFont="1" applyFill="1"/>
    <xf numFmtId="164" fontId="0" fillId="0" borderId="0" xfId="0" applyNumberFormat="1" applyFill="1"/>
    <xf numFmtId="164" fontId="5" fillId="4" borderId="0" xfId="1" applyNumberFormat="1" applyFont="1" applyFill="1"/>
    <xf numFmtId="0" fontId="5" fillId="0" borderId="0" xfId="0" applyFont="1"/>
    <xf numFmtId="164" fontId="5" fillId="4" borderId="0" xfId="0" applyNumberFormat="1" applyFont="1" applyFill="1"/>
    <xf numFmtId="0" fontId="5" fillId="0" borderId="0" xfId="0" applyFont="1" applyFill="1"/>
    <xf numFmtId="0" fontId="0" fillId="0" borderId="0" xfId="0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icing\Rate%20Cases\KPCo\2025%20Base%20Case%20-%20TME%205-31-25%20TY\Revenue\Revenue%20Proofs%20Final%20Section%20II%20Exhibit%20I%20J%20-with%20Final%20Units%207-15-25.xlsx" TargetMode="External"/><Relationship Id="rId1" Type="http://schemas.openxmlformats.org/officeDocument/2006/relationships/externalLinkPath" Target="file:///R:\pricing\Rate%20Cases\KPCo\2025%20Base%20Case%20-%20TME%205-31-25%20TY\Revenue\Revenue%20Proofs%20Final%20Section%20II%20Exhibit%20I%20J%20-with%20Final%20Units%207-15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P"/>
      <sheetName val="Exhibit I"/>
      <sheetName val="Exhibit K"/>
      <sheetName val="Revenue Summary"/>
      <sheetName val="PB - ED"/>
      <sheetName val="PB Sum"/>
      <sheetName val="PB - SS"/>
      <sheetName val="PB - ES"/>
      <sheetName val="PB - BSRR"/>
      <sheetName val="PB - AF"/>
      <sheetName val="YEM"/>
      <sheetName val="Annualization Adj. P1"/>
      <sheetName val="Annualization Adj. P2"/>
      <sheetName val="SGS TOD NA"/>
      <sheetName val="CC Summary OLD"/>
      <sheetName val="RS"/>
      <sheetName val="RS LMTOD"/>
      <sheetName val="RS TOD"/>
      <sheetName val="SGS TOD"/>
      <sheetName val="GS-SEC"/>
      <sheetName val="GS-AF"/>
      <sheetName val="GS-NM"/>
      <sheetName val="GSLMTOD"/>
      <sheetName val="MGSTOD"/>
      <sheetName val="GS-PRI"/>
      <sheetName val="GS-SUB"/>
      <sheetName val="LGS-SEC"/>
      <sheetName val="LGS-PRI"/>
      <sheetName val="LGSLMTOD"/>
      <sheetName val="LGS-PRI TOD"/>
      <sheetName val="LGS-SUB"/>
      <sheetName val="LGS-TRAN"/>
      <sheetName val="LGS-SEC TOD"/>
      <sheetName val="PS-SEC"/>
      <sheetName val="PS-PRI"/>
      <sheetName val="IGS-SEC"/>
      <sheetName val="IGS-PRI"/>
      <sheetName val="IGS-SUB"/>
      <sheetName val="IGS-TRAN"/>
      <sheetName val="MW"/>
      <sheetName val="Final billing units by tariff"/>
      <sheetName val="Bill Units"/>
      <sheetName val="CS-IRP TRAN 321"/>
      <sheetName val="CS-IRP SUB 331"/>
      <sheetName val="OL"/>
      <sheetName val="SL"/>
      <sheetName val="Rate Input"/>
      <sheetName val="B&amp;A Surcharges"/>
      <sheetName val="Book2Bill"/>
      <sheetName val="Monthly # of Customers"/>
      <sheetName val="Envir FGD adj"/>
      <sheetName val="Proposed Rates"/>
      <sheetName val="Fuel Summary"/>
      <sheetName val="kW Demands"/>
      <sheetName val="WNLA"/>
      <sheetName val="Tariff Mapping"/>
      <sheetName val="12 Months TS"/>
      <sheetName val="Realiz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65">
          <cell r="Q65">
            <v>179502313.6969294</v>
          </cell>
        </row>
      </sheetData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6095C-CF73-4453-B09B-22A66B0F9BD3}">
  <dimension ref="A1:H56"/>
  <sheetViews>
    <sheetView tabSelected="1" zoomScale="110" zoomScaleNormal="110" workbookViewId="0">
      <selection activeCell="E40" sqref="E40"/>
    </sheetView>
  </sheetViews>
  <sheetFormatPr defaultRowHeight="15" x14ac:dyDescent="0.25"/>
  <cols>
    <col min="1" max="1" width="6.7109375" bestFit="1" customWidth="1"/>
    <col min="2" max="2" width="10.42578125" bestFit="1" customWidth="1"/>
    <col min="3" max="3" width="85.140625" bestFit="1" customWidth="1"/>
    <col min="4" max="4" width="38.28515625" bestFit="1" customWidth="1"/>
    <col min="5" max="5" width="18.42578125" bestFit="1" customWidth="1"/>
    <col min="6" max="6" width="27" bestFit="1" customWidth="1"/>
  </cols>
  <sheetData>
    <row r="1" spans="1:6" x14ac:dyDescent="0.25">
      <c r="C1" t="s">
        <v>0</v>
      </c>
    </row>
    <row r="2" spans="1:6" x14ac:dyDescent="0.25">
      <c r="C2" t="s">
        <v>59</v>
      </c>
    </row>
    <row r="3" spans="1:6" x14ac:dyDescent="0.25">
      <c r="C3" t="s">
        <v>60</v>
      </c>
    </row>
    <row r="4" spans="1:6" x14ac:dyDescent="0.25">
      <c r="C4" t="s">
        <v>103</v>
      </c>
    </row>
    <row r="6" spans="1:6" x14ac:dyDescent="0.25">
      <c r="A6" t="s">
        <v>61</v>
      </c>
    </row>
    <row r="7" spans="1:6" x14ac:dyDescent="0.25">
      <c r="A7" t="s">
        <v>62</v>
      </c>
      <c r="C7" t="s">
        <v>63</v>
      </c>
      <c r="E7" t="s">
        <v>64</v>
      </c>
    </row>
    <row r="8" spans="1:6" x14ac:dyDescent="0.25">
      <c r="A8" s="13">
        <v>-1</v>
      </c>
      <c r="B8" s="13"/>
      <c r="C8" s="13">
        <v>-2</v>
      </c>
      <c r="D8" s="13"/>
      <c r="E8" s="13">
        <v>-3</v>
      </c>
    </row>
    <row r="10" spans="1:6" x14ac:dyDescent="0.25">
      <c r="A10">
        <v>1</v>
      </c>
      <c r="C10" t="s">
        <v>65</v>
      </c>
      <c r="E10" s="24">
        <f>'Fuel OU worksheet'!AD42</f>
        <v>59543109.680279933</v>
      </c>
      <c r="F10" t="s">
        <v>66</v>
      </c>
    </row>
    <row r="11" spans="1:6" x14ac:dyDescent="0.25">
      <c r="A11">
        <v>2</v>
      </c>
      <c r="C11" t="s">
        <v>67</v>
      </c>
      <c r="E11" s="24">
        <f>'Fuel OU worksheet'!AB42</f>
        <v>155543886.40351999</v>
      </c>
      <c r="F11" t="s">
        <v>66</v>
      </c>
    </row>
    <row r="12" spans="1:6" x14ac:dyDescent="0.25">
      <c r="A12">
        <v>3</v>
      </c>
      <c r="C12" t="s">
        <v>83</v>
      </c>
      <c r="E12" s="24">
        <f>'Fuel OU worksheet'!AF42</f>
        <v>-10124221.300000001</v>
      </c>
      <c r="F12" t="s">
        <v>66</v>
      </c>
    </row>
    <row r="13" spans="1:6" x14ac:dyDescent="0.25">
      <c r="A13">
        <v>4</v>
      </c>
      <c r="C13" t="s">
        <v>68</v>
      </c>
      <c r="E13" s="12">
        <f>SUM(E10:E12)</f>
        <v>204962774.78379992</v>
      </c>
    </row>
    <row r="14" spans="1:6" x14ac:dyDescent="0.25">
      <c r="B14" s="29"/>
      <c r="E14" s="11"/>
    </row>
    <row r="15" spans="1:6" x14ac:dyDescent="0.25">
      <c r="A15">
        <v>5</v>
      </c>
      <c r="B15" s="29"/>
      <c r="C15" t="s">
        <v>69</v>
      </c>
      <c r="E15" s="31">
        <f>'Fuel OU worksheet'!L49</f>
        <v>220067842.09699997</v>
      </c>
      <c r="F15" t="s">
        <v>66</v>
      </c>
    </row>
    <row r="16" spans="1:6" x14ac:dyDescent="0.25">
      <c r="A16">
        <v>6</v>
      </c>
      <c r="B16" s="29"/>
      <c r="C16" t="s">
        <v>70</v>
      </c>
      <c r="E16" s="24">
        <f>'Fuel OU worksheet'!P42</f>
        <v>-1066415.0149999997</v>
      </c>
      <c r="F16" t="s">
        <v>71</v>
      </c>
    </row>
    <row r="17" spans="1:6" x14ac:dyDescent="0.25">
      <c r="A17">
        <v>7</v>
      </c>
      <c r="B17" s="29"/>
      <c r="C17" t="s">
        <v>72</v>
      </c>
      <c r="E17" s="27">
        <f>SUM(E15:E16)</f>
        <v>219001427.08199999</v>
      </c>
    </row>
    <row r="18" spans="1:6" x14ac:dyDescent="0.25">
      <c r="B18" s="29"/>
      <c r="E18" s="11"/>
    </row>
    <row r="19" spans="1:6" x14ac:dyDescent="0.25">
      <c r="A19">
        <v>8</v>
      </c>
      <c r="B19" s="32" t="s">
        <v>91</v>
      </c>
      <c r="C19" t="s">
        <v>73</v>
      </c>
      <c r="E19" s="30">
        <f>E17-E13</f>
        <v>14038652.298200071</v>
      </c>
      <c r="F19" t="s">
        <v>74</v>
      </c>
    </row>
    <row r="20" spans="1:6" x14ac:dyDescent="0.25">
      <c r="B20" s="29"/>
      <c r="C20" s="14"/>
      <c r="D20" s="14"/>
      <c r="E20" s="15"/>
      <c r="F20" s="14"/>
    </row>
    <row r="21" spans="1:6" x14ac:dyDescent="0.25">
      <c r="B21" s="29"/>
      <c r="E21" s="11"/>
    </row>
    <row r="22" spans="1:6" x14ac:dyDescent="0.25">
      <c r="A22">
        <v>9</v>
      </c>
      <c r="B22" s="32" t="s">
        <v>93</v>
      </c>
      <c r="C22" t="s">
        <v>75</v>
      </c>
      <c r="D22" t="s">
        <v>76</v>
      </c>
      <c r="E22" s="24">
        <f>-E19</f>
        <v>-14038652.298200071</v>
      </c>
      <c r="F22" t="s">
        <v>77</v>
      </c>
    </row>
    <row r="23" spans="1:6" x14ac:dyDescent="0.25">
      <c r="B23" s="29"/>
      <c r="E23" s="24"/>
    </row>
    <row r="24" spans="1:6" x14ac:dyDescent="0.25">
      <c r="A24">
        <v>10</v>
      </c>
      <c r="B24" s="32" t="s">
        <v>92</v>
      </c>
      <c r="C24" t="s">
        <v>78</v>
      </c>
      <c r="D24" t="s">
        <v>76</v>
      </c>
      <c r="E24" s="36">
        <f>-(E10+E12)</f>
        <v>-49418888.380279928</v>
      </c>
      <c r="F24" s="37" t="s">
        <v>79</v>
      </c>
    </row>
    <row r="25" spans="1:6" x14ac:dyDescent="0.25">
      <c r="A25">
        <v>11</v>
      </c>
      <c r="B25" s="32" t="s">
        <v>92</v>
      </c>
      <c r="C25" t="s">
        <v>80</v>
      </c>
      <c r="D25" t="s">
        <v>76</v>
      </c>
      <c r="E25" s="36">
        <f>E24</f>
        <v>-49418888.380279928</v>
      </c>
      <c r="F25" s="37" t="s">
        <v>77</v>
      </c>
    </row>
    <row r="26" spans="1:6" x14ac:dyDescent="0.25">
      <c r="B26" s="29"/>
      <c r="E26" s="24"/>
    </row>
    <row r="27" spans="1:6" x14ac:dyDescent="0.25">
      <c r="B27" s="29"/>
      <c r="E27" s="24"/>
    </row>
    <row r="28" spans="1:6" x14ac:dyDescent="0.25">
      <c r="B28" s="29"/>
      <c r="E28" s="24"/>
    </row>
    <row r="29" spans="1:6" x14ac:dyDescent="0.25">
      <c r="A29">
        <v>12</v>
      </c>
      <c r="B29" s="29"/>
      <c r="C29" s="18" t="s">
        <v>90</v>
      </c>
      <c r="E29" s="24">
        <f>E22</f>
        <v>-14038652.298200071</v>
      </c>
      <c r="F29" t="s">
        <v>77</v>
      </c>
    </row>
    <row r="30" spans="1:6" x14ac:dyDescent="0.25">
      <c r="B30" s="29"/>
    </row>
    <row r="32" spans="1:6" x14ac:dyDescent="0.25">
      <c r="C32" t="s">
        <v>81</v>
      </c>
    </row>
    <row r="33" spans="1:8" x14ac:dyDescent="0.25">
      <c r="B33" s="29"/>
    </row>
    <row r="34" spans="1:8" x14ac:dyDescent="0.25">
      <c r="B34" s="29"/>
      <c r="C34" s="14"/>
      <c r="D34" s="14"/>
      <c r="E34" s="14"/>
      <c r="F34" s="14"/>
    </row>
    <row r="35" spans="1:8" x14ac:dyDescent="0.25">
      <c r="A35" s="18"/>
      <c r="B35" s="29"/>
    </row>
    <row r="36" spans="1:8" x14ac:dyDescent="0.25">
      <c r="A36" s="18"/>
      <c r="B36" s="29"/>
      <c r="C36" s="18" t="s">
        <v>85</v>
      </c>
      <c r="D36" s="18"/>
      <c r="E36" s="18"/>
      <c r="F36" s="18"/>
      <c r="G36" s="18"/>
    </row>
    <row r="37" spans="1:8" x14ac:dyDescent="0.25">
      <c r="A37" s="18"/>
      <c r="B37" s="29"/>
      <c r="C37" s="18"/>
      <c r="D37" s="18"/>
      <c r="E37" s="18"/>
      <c r="F37" s="18"/>
      <c r="G37" s="18"/>
    </row>
    <row r="38" spans="1:8" x14ac:dyDescent="0.25">
      <c r="A38" s="18">
        <v>13</v>
      </c>
      <c r="B38" s="29"/>
      <c r="C38" s="18" t="s">
        <v>86</v>
      </c>
      <c r="D38" s="18"/>
      <c r="E38" s="34">
        <f>'[1]Fuel Summary'!$Q$65</f>
        <v>179502313.6969294</v>
      </c>
      <c r="F38" s="18" t="s">
        <v>101</v>
      </c>
      <c r="G38" s="18"/>
    </row>
    <row r="39" spans="1:8" x14ac:dyDescent="0.25">
      <c r="A39" s="18">
        <v>14</v>
      </c>
      <c r="B39" s="32" t="s">
        <v>94</v>
      </c>
      <c r="C39" s="18" t="s">
        <v>87</v>
      </c>
      <c r="D39" s="18"/>
      <c r="E39" s="35">
        <f>E38-E11</f>
        <v>23958427.293409407</v>
      </c>
      <c r="F39" s="18" t="s">
        <v>102</v>
      </c>
      <c r="G39" s="18"/>
    </row>
    <row r="40" spans="1:8" x14ac:dyDescent="0.25">
      <c r="A40" s="18">
        <v>15</v>
      </c>
      <c r="B40" s="32"/>
      <c r="C40" s="18" t="s">
        <v>95</v>
      </c>
      <c r="D40" s="18"/>
      <c r="E40" s="35">
        <f>'Fuel OU worksheet'!L42-'Fuel OU worksheet'!L49</f>
        <v>3132918.9030000269</v>
      </c>
      <c r="F40" s="18" t="s">
        <v>66</v>
      </c>
      <c r="G40" s="18"/>
    </row>
    <row r="41" spans="1:8" x14ac:dyDescent="0.25">
      <c r="A41">
        <v>16</v>
      </c>
      <c r="B41" s="32" t="s">
        <v>96</v>
      </c>
      <c r="C41" s="18" t="s">
        <v>88</v>
      </c>
      <c r="D41" s="18"/>
      <c r="E41" s="38">
        <f>E39+E29-E40</f>
        <v>6786856.0922093093</v>
      </c>
      <c r="F41" s="39" t="s">
        <v>89</v>
      </c>
      <c r="G41" s="18"/>
      <c r="H41" s="18"/>
    </row>
    <row r="42" spans="1:8" x14ac:dyDescent="0.25">
      <c r="B42" s="29"/>
    </row>
    <row r="43" spans="1:8" x14ac:dyDescent="0.25">
      <c r="B43" s="29"/>
    </row>
    <row r="44" spans="1:8" x14ac:dyDescent="0.25">
      <c r="B44" s="29"/>
    </row>
    <row r="45" spans="1:8" x14ac:dyDescent="0.25">
      <c r="B45" s="29"/>
    </row>
    <row r="46" spans="1:8" x14ac:dyDescent="0.25">
      <c r="B46" s="29"/>
    </row>
    <row r="47" spans="1:8" x14ac:dyDescent="0.25">
      <c r="B47" s="29"/>
    </row>
    <row r="48" spans="1:8" x14ac:dyDescent="0.25">
      <c r="B48" s="29"/>
      <c r="E48" t="s">
        <v>99</v>
      </c>
    </row>
    <row r="49" spans="2:6" x14ac:dyDescent="0.25">
      <c r="B49" s="29"/>
      <c r="E49" s="33">
        <f>'Fuel OU worksheet'!L42+E25+E16</f>
        <v>172715457.60472009</v>
      </c>
      <c r="F49" t="s">
        <v>97</v>
      </c>
    </row>
    <row r="50" spans="2:6" x14ac:dyDescent="0.25">
      <c r="B50" s="29"/>
      <c r="E50" s="33"/>
    </row>
    <row r="51" spans="2:6" x14ac:dyDescent="0.25">
      <c r="B51" s="29"/>
      <c r="E51" s="33"/>
    </row>
    <row r="52" spans="2:6" x14ac:dyDescent="0.25">
      <c r="E52" s="5">
        <f>E10+E12+E24+E38</f>
        <v>179502313.6969294</v>
      </c>
      <c r="F52" t="s">
        <v>98</v>
      </c>
    </row>
    <row r="53" spans="2:6" x14ac:dyDescent="0.25">
      <c r="E53" s="6"/>
    </row>
    <row r="55" spans="2:6" x14ac:dyDescent="0.25">
      <c r="E55" s="6">
        <f>E41-E53</f>
        <v>6786856.0922093093</v>
      </c>
      <c r="F55" t="s">
        <v>100</v>
      </c>
    </row>
    <row r="56" spans="2:6" x14ac:dyDescent="0.25">
      <c r="E56" s="6">
        <f>E41-E55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75143-3E6B-4AF2-9A4C-D7591B836436}">
  <dimension ref="A1:AJ49"/>
  <sheetViews>
    <sheetView zoomScale="90" zoomScaleNormal="90" workbookViewId="0">
      <selection activeCell="O48" sqref="O48"/>
    </sheetView>
  </sheetViews>
  <sheetFormatPr defaultRowHeight="15" x14ac:dyDescent="0.25"/>
  <cols>
    <col min="1" max="1" width="3.5703125" customWidth="1"/>
    <col min="2" max="2" width="23.28515625" bestFit="1" customWidth="1"/>
    <col min="3" max="3" width="2.7109375" bestFit="1" customWidth="1"/>
    <col min="4" max="4" width="5.5703125" bestFit="1" customWidth="1"/>
    <col min="5" max="5" width="2.7109375" bestFit="1" customWidth="1"/>
    <col min="6" max="6" width="16.140625" bestFit="1" customWidth="1"/>
    <col min="7" max="7" width="2.7109375" bestFit="1" customWidth="1"/>
    <col min="8" max="8" width="12.28515625" bestFit="1" customWidth="1"/>
    <col min="9" max="9" width="2.85546875" customWidth="1"/>
    <col min="10" max="10" width="23.42578125" bestFit="1" customWidth="1"/>
    <col min="11" max="11" width="3.7109375" customWidth="1"/>
    <col min="12" max="12" width="14.5703125" bestFit="1" customWidth="1"/>
    <col min="13" max="13" width="3.7109375" customWidth="1"/>
    <col min="14" max="14" width="13.28515625" bestFit="1" customWidth="1"/>
    <col min="15" max="15" width="5.85546875" bestFit="1" customWidth="1"/>
    <col min="16" max="16" width="12.85546875" bestFit="1" customWidth="1"/>
    <col min="17" max="17" width="5.85546875" bestFit="1" customWidth="1"/>
    <col min="18" max="18" width="12.7109375" bestFit="1" customWidth="1"/>
    <col min="19" max="19" width="5.85546875" bestFit="1" customWidth="1"/>
    <col min="20" max="20" width="13.28515625" bestFit="1" customWidth="1"/>
    <col min="21" max="21" width="5.85546875" bestFit="1" customWidth="1"/>
    <col min="22" max="22" width="13.5703125" bestFit="1" customWidth="1"/>
    <col min="23" max="23" width="5.85546875" bestFit="1" customWidth="1"/>
    <col min="24" max="24" width="8.85546875" bestFit="1" customWidth="1"/>
    <col min="25" max="25" width="5.85546875" bestFit="1" customWidth="1"/>
    <col min="26" max="26" width="8.28515625" bestFit="1" customWidth="1"/>
    <col min="27" max="27" width="5.85546875" bestFit="1" customWidth="1"/>
    <col min="28" max="28" width="12.7109375" bestFit="1" customWidth="1"/>
    <col min="29" max="29" width="5.85546875" bestFit="1" customWidth="1"/>
    <col min="30" max="30" width="11.5703125" bestFit="1" customWidth="1"/>
    <col min="31" max="31" width="5.85546875" bestFit="1" customWidth="1"/>
    <col min="32" max="32" width="14" bestFit="1" customWidth="1"/>
    <col min="33" max="33" width="5.85546875" customWidth="1"/>
    <col min="34" max="34" width="12.7109375" bestFit="1" customWidth="1"/>
    <col min="35" max="35" width="5.85546875" bestFit="1" customWidth="1"/>
    <col min="36" max="36" width="14" bestFit="1" customWidth="1"/>
  </cols>
  <sheetData>
    <row r="1" spans="1:36" x14ac:dyDescent="0.25">
      <c r="N1" s="40" t="s">
        <v>0</v>
      </c>
      <c r="O1" s="40"/>
      <c r="P1" s="40"/>
      <c r="Q1" s="40"/>
      <c r="R1" s="40"/>
    </row>
    <row r="2" spans="1:36" x14ac:dyDescent="0.25">
      <c r="N2" s="40" t="s">
        <v>1</v>
      </c>
      <c r="O2" s="40"/>
      <c r="P2" s="40"/>
      <c r="Q2" s="40"/>
      <c r="R2" s="40"/>
    </row>
    <row r="3" spans="1:36" x14ac:dyDescent="0.25">
      <c r="N3" s="40" t="s">
        <v>2</v>
      </c>
      <c r="O3" s="40"/>
      <c r="P3" s="40"/>
      <c r="Q3" s="40"/>
      <c r="R3" s="40"/>
    </row>
    <row r="6" spans="1:36" x14ac:dyDescent="0.25">
      <c r="R6" s="1" t="s">
        <v>3</v>
      </c>
    </row>
    <row r="7" spans="1:36" s="1" customFormat="1" x14ac:dyDescent="0.25">
      <c r="F7" s="1" t="s">
        <v>4</v>
      </c>
      <c r="H7" s="1" t="s">
        <v>5</v>
      </c>
      <c r="J7" s="1" t="s">
        <v>3</v>
      </c>
      <c r="L7" s="1" t="s">
        <v>6</v>
      </c>
      <c r="N7" s="1" t="s">
        <v>3</v>
      </c>
      <c r="R7" s="1" t="s">
        <v>6</v>
      </c>
      <c r="T7" s="1" t="s">
        <v>7</v>
      </c>
      <c r="AB7" s="1" t="s">
        <v>8</v>
      </c>
      <c r="AF7" s="25"/>
      <c r="AG7" s="16"/>
      <c r="AH7" s="1" t="s">
        <v>6</v>
      </c>
      <c r="AJ7" s="1" t="s">
        <v>9</v>
      </c>
    </row>
    <row r="8" spans="1:36" s="1" customFormat="1" x14ac:dyDescent="0.25">
      <c r="H8" s="1" t="s">
        <v>10</v>
      </c>
      <c r="J8" s="1" t="s">
        <v>11</v>
      </c>
      <c r="L8" s="1" t="s">
        <v>12</v>
      </c>
      <c r="N8" s="1" t="s">
        <v>13</v>
      </c>
      <c r="R8" s="1" t="s">
        <v>13</v>
      </c>
      <c r="T8" s="1" t="s">
        <v>14</v>
      </c>
      <c r="V8" s="1" t="s">
        <v>15</v>
      </c>
      <c r="AB8" s="1" t="s">
        <v>13</v>
      </c>
      <c r="AD8" s="1" t="s">
        <v>16</v>
      </c>
      <c r="AF8" s="25"/>
      <c r="AG8" s="16"/>
      <c r="AH8" s="1" t="s">
        <v>13</v>
      </c>
      <c r="AJ8" s="1" t="s">
        <v>17</v>
      </c>
    </row>
    <row r="9" spans="1:36" s="1" customFormat="1" x14ac:dyDescent="0.25">
      <c r="A9" s="1" t="s">
        <v>18</v>
      </c>
      <c r="H9" s="1" t="s">
        <v>19</v>
      </c>
      <c r="J9" s="1" t="s">
        <v>20</v>
      </c>
      <c r="L9" s="1" t="s">
        <v>13</v>
      </c>
      <c r="N9" s="1" t="s">
        <v>21</v>
      </c>
      <c r="P9" s="1" t="s">
        <v>22</v>
      </c>
      <c r="R9" s="1" t="s">
        <v>21</v>
      </c>
      <c r="T9" s="1" t="s">
        <v>23</v>
      </c>
      <c r="V9" s="1" t="s">
        <v>24</v>
      </c>
      <c r="X9" s="1" t="s">
        <v>8</v>
      </c>
      <c r="AB9" s="1" t="s">
        <v>26</v>
      </c>
      <c r="AD9" s="1" t="s">
        <v>26</v>
      </c>
      <c r="AF9" s="25" t="s">
        <v>16</v>
      </c>
      <c r="AG9" s="16"/>
      <c r="AH9" s="1" t="s">
        <v>26</v>
      </c>
      <c r="AJ9" s="1" t="s">
        <v>27</v>
      </c>
    </row>
    <row r="10" spans="1:36" s="1" customFormat="1" x14ac:dyDescent="0.25">
      <c r="A10" s="2" t="s">
        <v>28</v>
      </c>
      <c r="B10" s="2" t="s">
        <v>29</v>
      </c>
      <c r="C10" s="2"/>
      <c r="D10" s="2" t="s">
        <v>30</v>
      </c>
      <c r="E10" s="2"/>
      <c r="F10" s="2" t="s">
        <v>31</v>
      </c>
      <c r="G10" s="2"/>
      <c r="H10" s="2" t="s">
        <v>32</v>
      </c>
      <c r="I10" s="2"/>
      <c r="J10" s="2" t="s">
        <v>33</v>
      </c>
      <c r="K10" s="2"/>
      <c r="L10" s="2" t="s">
        <v>34</v>
      </c>
      <c r="M10" s="2"/>
      <c r="N10" s="2" t="s">
        <v>35</v>
      </c>
      <c r="O10" s="2"/>
      <c r="P10" s="2" t="s">
        <v>13</v>
      </c>
      <c r="Q10" s="2"/>
      <c r="R10" s="2" t="s">
        <v>36</v>
      </c>
      <c r="S10" s="2"/>
      <c r="T10" s="2" t="s">
        <v>37</v>
      </c>
      <c r="U10" s="2"/>
      <c r="V10" s="2" t="s">
        <v>11</v>
      </c>
      <c r="W10" s="2"/>
      <c r="X10" s="2" t="s">
        <v>13</v>
      </c>
      <c r="Y10" s="2"/>
      <c r="Z10" s="2" t="s">
        <v>25</v>
      </c>
      <c r="AA10" s="2"/>
      <c r="AB10" s="2" t="s">
        <v>38</v>
      </c>
      <c r="AC10" s="2"/>
      <c r="AD10" s="2" t="s">
        <v>39</v>
      </c>
      <c r="AE10" s="2"/>
      <c r="AF10" s="26" t="s">
        <v>82</v>
      </c>
      <c r="AG10" s="2"/>
      <c r="AH10" s="2" t="s">
        <v>84</v>
      </c>
      <c r="AI10" s="2"/>
      <c r="AJ10" s="2" t="s">
        <v>40</v>
      </c>
    </row>
    <row r="11" spans="1:36" s="1" customFormat="1" x14ac:dyDescent="0.25">
      <c r="A11" s="1">
        <v>1</v>
      </c>
      <c r="B11" s="1">
        <v>2</v>
      </c>
      <c r="D11" s="1">
        <v>3</v>
      </c>
      <c r="F11" s="1">
        <v>4</v>
      </c>
      <c r="H11" s="1">
        <v>5</v>
      </c>
      <c r="J11" s="1">
        <v>6</v>
      </c>
      <c r="L11" s="1">
        <v>7</v>
      </c>
      <c r="N11" s="1">
        <v>8</v>
      </c>
      <c r="P11" s="1">
        <v>9</v>
      </c>
      <c r="R11" s="1">
        <v>10</v>
      </c>
      <c r="T11" s="1">
        <v>11</v>
      </c>
      <c r="V11" s="1">
        <v>12</v>
      </c>
      <c r="X11" s="1">
        <v>13</v>
      </c>
      <c r="Z11" s="1">
        <v>14</v>
      </c>
      <c r="AB11" s="1">
        <v>15</v>
      </c>
      <c r="AD11" s="1">
        <v>16</v>
      </c>
      <c r="AF11" s="28">
        <v>17</v>
      </c>
      <c r="AG11" s="16"/>
      <c r="AH11" s="1">
        <v>18</v>
      </c>
      <c r="AJ11" s="1">
        <v>19</v>
      </c>
    </row>
    <row r="12" spans="1:36" x14ac:dyDescent="0.25">
      <c r="AF12" s="24"/>
    </row>
    <row r="13" spans="1:36" x14ac:dyDescent="0.25">
      <c r="B13" t="s">
        <v>4</v>
      </c>
      <c r="D13" t="s">
        <v>4</v>
      </c>
      <c r="J13" s="3"/>
      <c r="R13" s="4"/>
      <c r="AB13" s="18"/>
      <c r="AF13" s="24"/>
    </row>
    <row r="14" spans="1:36" x14ac:dyDescent="0.25">
      <c r="A14">
        <v>1</v>
      </c>
      <c r="B14" t="s">
        <v>41</v>
      </c>
      <c r="D14">
        <v>2024</v>
      </c>
      <c r="F14" s="3">
        <v>397483028</v>
      </c>
      <c r="H14" s="3">
        <v>5199154</v>
      </c>
      <c r="I14" s="3"/>
      <c r="J14" s="20">
        <f>F14-H14</f>
        <v>392283874</v>
      </c>
      <c r="L14" s="17">
        <v>13206412</v>
      </c>
      <c r="N14" s="19">
        <f>(L14/F14)*J14</f>
        <v>13033669.606139984</v>
      </c>
      <c r="P14" s="5">
        <v>776544.96</v>
      </c>
      <c r="R14" s="21">
        <f t="shared" ref="R14" si="0">N14+P14</f>
        <v>13810214.566139985</v>
      </c>
      <c r="T14" s="22">
        <f>L14/F14</f>
        <v>3.3225096594564539E-2</v>
      </c>
      <c r="V14" s="3">
        <v>379996666</v>
      </c>
      <c r="X14">
        <v>2.6120000000000001E-2</v>
      </c>
      <c r="Z14" s="23">
        <v>7.1050965945645382E-3</v>
      </c>
      <c r="AB14" s="21"/>
      <c r="AD14" s="21"/>
      <c r="AF14" s="24"/>
      <c r="AH14" s="21"/>
      <c r="AJ14" s="21"/>
    </row>
    <row r="15" spans="1:36" x14ac:dyDescent="0.25">
      <c r="J15" s="20"/>
      <c r="L15" s="18"/>
      <c r="N15" s="19"/>
      <c r="P15" s="5"/>
      <c r="R15" s="21"/>
      <c r="T15" s="22"/>
      <c r="Z15" s="23"/>
      <c r="AB15" s="21"/>
      <c r="AD15" s="21"/>
      <c r="AF15" s="24"/>
      <c r="AH15" s="21"/>
      <c r="AJ15" s="21"/>
    </row>
    <row r="16" spans="1:36" x14ac:dyDescent="0.25">
      <c r="A16">
        <v>2</v>
      </c>
      <c r="B16" t="s">
        <v>42</v>
      </c>
      <c r="D16">
        <v>2024</v>
      </c>
      <c r="F16" s="3">
        <v>411878407</v>
      </c>
      <c r="H16" s="3">
        <v>5468779</v>
      </c>
      <c r="I16" s="3"/>
      <c r="J16" s="20">
        <f>F16-H16</f>
        <v>406409628</v>
      </c>
      <c r="L16" s="17">
        <v>11630736</v>
      </c>
      <c r="N16" s="19">
        <f>(L16/F16)*J16</f>
        <v>11476307.111011548</v>
      </c>
      <c r="P16" s="5">
        <v>4562616</v>
      </c>
      <c r="R16" s="21">
        <f t="shared" ref="R16" si="1">N16+P16</f>
        <v>16038923.111011548</v>
      </c>
      <c r="T16" s="22">
        <f>L16/F16</f>
        <v>2.8238275671489621E-2</v>
      </c>
      <c r="V16" s="3">
        <v>434056376</v>
      </c>
      <c r="X16">
        <v>2.6120000000000001E-2</v>
      </c>
      <c r="Z16" s="23">
        <v>2.1182756714896202E-3</v>
      </c>
      <c r="AB16" s="21"/>
      <c r="AD16" s="21"/>
      <c r="AF16" s="24"/>
      <c r="AH16" s="21"/>
      <c r="AJ16" s="21"/>
    </row>
    <row r="17" spans="1:36" x14ac:dyDescent="0.25">
      <c r="B17" t="s">
        <v>4</v>
      </c>
      <c r="D17" t="s">
        <v>4</v>
      </c>
      <c r="J17" s="20"/>
      <c r="L17" s="18"/>
      <c r="N17" s="19"/>
      <c r="P17" s="5"/>
      <c r="R17" s="21"/>
      <c r="T17" s="22"/>
      <c r="Z17" s="23"/>
      <c r="AB17" s="21"/>
      <c r="AD17" s="21"/>
      <c r="AF17" s="24"/>
      <c r="AH17" s="21"/>
      <c r="AJ17" s="21"/>
    </row>
    <row r="18" spans="1:36" x14ac:dyDescent="0.25">
      <c r="A18">
        <v>3</v>
      </c>
      <c r="B18" t="s">
        <v>43</v>
      </c>
      <c r="D18">
        <v>2024</v>
      </c>
      <c r="F18" s="3">
        <v>457765100</v>
      </c>
      <c r="H18" s="3">
        <v>6389643</v>
      </c>
      <c r="I18" s="3"/>
      <c r="J18" s="20">
        <f>F18-H18</f>
        <v>451375457</v>
      </c>
      <c r="L18" s="17">
        <v>17459710</v>
      </c>
      <c r="N18" s="19">
        <f>(L18/F18)*J18</f>
        <v>17216001.351648413</v>
      </c>
      <c r="P18" s="5">
        <v>-4139638.98</v>
      </c>
      <c r="R18" s="21">
        <f t="shared" ref="R18" si="2">N18+P18</f>
        <v>13076362.371648412</v>
      </c>
      <c r="T18" s="22">
        <f>L18/F18</f>
        <v>3.8141199492927706E-2</v>
      </c>
      <c r="V18" s="3">
        <v>422065892</v>
      </c>
      <c r="X18">
        <v>2.6120000000000001E-2</v>
      </c>
      <c r="Z18" s="23">
        <v>1.2021199492927705E-2</v>
      </c>
      <c r="AB18" s="21">
        <f>V18*X18</f>
        <v>11024361.09904</v>
      </c>
      <c r="AD18" s="21">
        <f>V18*Z14</f>
        <v>2998818.931931044</v>
      </c>
      <c r="AF18" s="24"/>
      <c r="AH18" s="21">
        <f>AB18+AD18+AF18</f>
        <v>14023180.030971043</v>
      </c>
      <c r="AJ18" s="21">
        <f t="shared" ref="AJ18" si="3">AH18-R18</f>
        <v>946817.65932263061</v>
      </c>
    </row>
    <row r="19" spans="1:36" x14ac:dyDescent="0.25">
      <c r="B19" t="s">
        <v>4</v>
      </c>
      <c r="D19" t="s">
        <v>4</v>
      </c>
      <c r="J19" s="20"/>
      <c r="L19" s="18"/>
      <c r="N19" s="19"/>
      <c r="P19" s="5"/>
      <c r="R19" s="21"/>
      <c r="T19" s="22"/>
      <c r="Z19" s="23"/>
      <c r="AB19" s="21"/>
      <c r="AD19" s="21"/>
      <c r="AF19" s="24"/>
      <c r="AH19" s="21"/>
      <c r="AJ19" s="21"/>
    </row>
    <row r="20" spans="1:36" x14ac:dyDescent="0.25">
      <c r="A20">
        <v>4</v>
      </c>
      <c r="B20" t="s">
        <v>44</v>
      </c>
      <c r="D20">
        <v>2024</v>
      </c>
      <c r="F20" s="3">
        <v>477823165</v>
      </c>
      <c r="H20" s="3">
        <v>7076014</v>
      </c>
      <c r="I20" s="3"/>
      <c r="J20" s="20">
        <f>F20-H20</f>
        <v>470747151</v>
      </c>
      <c r="L20" s="17">
        <v>19053272</v>
      </c>
      <c r="N20" s="19">
        <f>(L20/F20)*J20</f>
        <v>18771114.856325712</v>
      </c>
      <c r="P20" s="5">
        <v>-3400719.02</v>
      </c>
      <c r="R20" s="21">
        <f t="shared" ref="R20" si="4">N20+P20</f>
        <v>15370395.836325713</v>
      </c>
      <c r="T20" s="22">
        <f>L20/F20</f>
        <v>3.9875153394875698E-2</v>
      </c>
      <c r="V20" s="3">
        <v>471776583</v>
      </c>
      <c r="X20">
        <v>2.6120000000000001E-2</v>
      </c>
      <c r="Z20" s="23">
        <v>1.3755153394875697E-2</v>
      </c>
      <c r="AB20" s="21">
        <f t="shared" ref="AB20:AB40" si="5">V20*X20</f>
        <v>12322804.347960001</v>
      </c>
      <c r="AD20" s="21">
        <f t="shared" ref="AD20:AD40" si="6">V20*Z16</f>
        <v>999352.85814740357</v>
      </c>
      <c r="AF20" s="24"/>
      <c r="AH20" s="21">
        <f t="shared" ref="AH20:AH40" si="7">AB20+AD20+AF20</f>
        <v>13322157.206107404</v>
      </c>
      <c r="AJ20" s="21">
        <f t="shared" ref="AJ20" si="8">AH20-R20</f>
        <v>-2048238.6302183084</v>
      </c>
    </row>
    <row r="21" spans="1:36" x14ac:dyDescent="0.25">
      <c r="B21" t="s">
        <v>4</v>
      </c>
      <c r="D21" t="s">
        <v>4</v>
      </c>
      <c r="J21" s="20"/>
      <c r="L21" s="18"/>
      <c r="N21" s="19"/>
      <c r="P21" s="5"/>
      <c r="R21" s="21"/>
      <c r="T21" s="22"/>
      <c r="Z21" s="23"/>
      <c r="AB21" s="21"/>
      <c r="AD21" s="21"/>
      <c r="AF21" s="24"/>
      <c r="AH21" s="21"/>
      <c r="AJ21" s="21"/>
    </row>
    <row r="22" spans="1:36" x14ac:dyDescent="0.25">
      <c r="A22">
        <v>5</v>
      </c>
      <c r="B22" t="s">
        <v>45</v>
      </c>
      <c r="D22">
        <v>2024</v>
      </c>
      <c r="F22" s="3">
        <v>463052563</v>
      </c>
      <c r="H22" s="3">
        <v>6747814</v>
      </c>
      <c r="I22" s="3"/>
      <c r="J22" s="20">
        <f>F22-H22</f>
        <v>456304749</v>
      </c>
      <c r="L22" s="17">
        <v>16800320</v>
      </c>
      <c r="N22" s="19">
        <f>(L22/F22)*J22</f>
        <v>16555498.043360747</v>
      </c>
      <c r="P22" s="5">
        <v>1180481</v>
      </c>
      <c r="R22" s="21">
        <f t="shared" ref="R22" si="9">N22+P22</f>
        <v>17735979.043360747</v>
      </c>
      <c r="T22" s="22">
        <f>L22/F22</f>
        <v>3.6281669387930801E-2</v>
      </c>
      <c r="V22" s="3">
        <v>468258430</v>
      </c>
      <c r="X22">
        <v>2.6120000000000001E-2</v>
      </c>
      <c r="Z22" s="23">
        <v>1.01616693879308E-2</v>
      </c>
      <c r="AB22" s="21">
        <f t="shared" si="5"/>
        <v>12230910.1916</v>
      </c>
      <c r="AD22" s="21">
        <f t="shared" si="6"/>
        <v>5629028.0012751231</v>
      </c>
      <c r="AF22" s="24"/>
      <c r="AH22" s="21">
        <f t="shared" si="7"/>
        <v>17859938.192875125</v>
      </c>
      <c r="AJ22" s="21">
        <f t="shared" ref="AJ22" si="10">AH22-R22</f>
        <v>123959.14951437712</v>
      </c>
    </row>
    <row r="23" spans="1:36" x14ac:dyDescent="0.25">
      <c r="D23" t="s">
        <v>4</v>
      </c>
      <c r="J23" s="20"/>
      <c r="L23" s="18"/>
      <c r="N23" s="19"/>
      <c r="P23" s="5"/>
      <c r="R23" s="21"/>
      <c r="T23" s="22"/>
      <c r="Z23" s="23"/>
      <c r="AB23" s="21"/>
      <c r="AD23" s="21"/>
      <c r="AF23" s="24"/>
      <c r="AH23" s="21"/>
      <c r="AJ23" s="21"/>
    </row>
    <row r="24" spans="1:36" x14ac:dyDescent="0.25">
      <c r="A24">
        <v>6</v>
      </c>
      <c r="B24" t="s">
        <v>46</v>
      </c>
      <c r="D24">
        <v>2024</v>
      </c>
      <c r="F24" s="3">
        <v>399193129</v>
      </c>
      <c r="H24" s="3">
        <v>5414754</v>
      </c>
      <c r="I24" s="3"/>
      <c r="J24" s="20">
        <f>F24-H24</f>
        <v>393778375</v>
      </c>
      <c r="L24" s="17">
        <v>15416748</v>
      </c>
      <c r="N24" s="19">
        <f>(L24/F24)*J24</f>
        <v>15207631.430010159</v>
      </c>
      <c r="P24" s="5">
        <v>769849.84</v>
      </c>
      <c r="R24" s="21">
        <f t="shared" ref="R24" si="11">N24+P24</f>
        <v>15977481.270010158</v>
      </c>
      <c r="T24" s="22">
        <f>L24/F24</f>
        <v>3.8619772937023671E-2</v>
      </c>
      <c r="V24" s="3">
        <v>379568189</v>
      </c>
      <c r="X24">
        <v>2.6120000000000001E-2</v>
      </c>
      <c r="Z24" s="23">
        <v>1.249977293702367E-2</v>
      </c>
      <c r="AB24" s="21">
        <f t="shared" si="5"/>
        <v>9914321.0966800004</v>
      </c>
      <c r="AD24" s="21">
        <f t="shared" si="6"/>
        <v>5221018.6635101698</v>
      </c>
      <c r="AF24" s="24"/>
      <c r="AH24" s="21">
        <f t="shared" si="7"/>
        <v>15135339.76019017</v>
      </c>
      <c r="AJ24" s="21">
        <f t="shared" ref="AJ24" si="12">AH24-R24</f>
        <v>-842141.50981998816</v>
      </c>
    </row>
    <row r="25" spans="1:36" x14ac:dyDescent="0.25">
      <c r="B25" t="s">
        <v>4</v>
      </c>
      <c r="D25" t="s">
        <v>4</v>
      </c>
      <c r="J25" s="20"/>
      <c r="L25" s="18"/>
      <c r="N25" s="19"/>
      <c r="P25" s="5"/>
      <c r="R25" s="21"/>
      <c r="T25" s="22"/>
      <c r="Z25" s="23"/>
      <c r="AB25" s="21"/>
      <c r="AD25" s="21"/>
      <c r="AF25" s="24"/>
      <c r="AH25" s="21"/>
      <c r="AJ25" s="21"/>
    </row>
    <row r="26" spans="1:36" x14ac:dyDescent="0.25">
      <c r="A26">
        <v>7</v>
      </c>
      <c r="B26" t="s">
        <v>47</v>
      </c>
      <c r="D26">
        <v>2024</v>
      </c>
      <c r="F26" s="3">
        <v>399930296</v>
      </c>
      <c r="H26" s="3">
        <v>5129539</v>
      </c>
      <c r="I26" s="3"/>
      <c r="J26" s="20">
        <f>F26-H26</f>
        <v>394800757</v>
      </c>
      <c r="L26" s="17">
        <v>14550060</v>
      </c>
      <c r="N26" s="19">
        <f>(L26/F26)*J26</f>
        <v>14363439.728995724</v>
      </c>
      <c r="P26" s="5">
        <v>765316.16</v>
      </c>
      <c r="R26" s="21">
        <f t="shared" ref="R26" si="13">N26+P26</f>
        <v>15128755.888995724</v>
      </c>
      <c r="T26" s="22">
        <f>L26/F26</f>
        <v>3.638148983841924E-2</v>
      </c>
      <c r="V26" s="3">
        <v>411985393</v>
      </c>
      <c r="X26">
        <v>2.6120000000000001E-2</v>
      </c>
      <c r="Z26" s="23">
        <v>1.0261489838419239E-2</v>
      </c>
      <c r="AB26" s="21">
        <f t="shared" si="5"/>
        <v>10761058.465160001</v>
      </c>
      <c r="AD26" s="21">
        <f t="shared" si="6"/>
        <v>4186459.3563227402</v>
      </c>
      <c r="AF26" s="24"/>
      <c r="AH26" s="21">
        <f t="shared" si="7"/>
        <v>14947517.82148274</v>
      </c>
      <c r="AJ26" s="21">
        <f t="shared" ref="AJ26" si="14">AH26-R26</f>
        <v>-181238.06751298346</v>
      </c>
    </row>
    <row r="27" spans="1:36" x14ac:dyDescent="0.25">
      <c r="J27" s="20"/>
      <c r="L27" s="18"/>
      <c r="N27" s="19"/>
      <c r="P27" s="5"/>
      <c r="R27" s="21"/>
      <c r="T27" s="22"/>
      <c r="Z27" s="23"/>
      <c r="AB27" s="21"/>
      <c r="AD27" s="21"/>
      <c r="AF27" s="24"/>
      <c r="AH27" s="21"/>
      <c r="AJ27" s="21"/>
    </row>
    <row r="28" spans="1:36" x14ac:dyDescent="0.25">
      <c r="A28">
        <v>8</v>
      </c>
      <c r="B28" t="s">
        <v>48</v>
      </c>
      <c r="D28">
        <v>2024</v>
      </c>
      <c r="F28" s="3">
        <v>406295923</v>
      </c>
      <c r="H28" s="3">
        <v>5434799</v>
      </c>
      <c r="I28" s="3"/>
      <c r="J28" s="20">
        <f>F28-H28</f>
        <v>400861124</v>
      </c>
      <c r="L28" s="17">
        <v>15512531</v>
      </c>
      <c r="N28" s="19">
        <f>(L28/F28)*J28</f>
        <v>15305028.332132302</v>
      </c>
      <c r="P28" s="5">
        <v>536171</v>
      </c>
      <c r="R28" s="21">
        <f t="shared" ref="R28" si="15">N28+P28</f>
        <v>15841199.332132302</v>
      </c>
      <c r="T28" s="22">
        <f>L28/F28</f>
        <v>3.8180375735643306E-2</v>
      </c>
      <c r="V28" s="3">
        <v>422129985</v>
      </c>
      <c r="X28">
        <v>2.6120000000000001E-2</v>
      </c>
      <c r="Z28" s="23">
        <v>1.2060375735643305E-2</v>
      </c>
      <c r="AB28" s="21">
        <f t="shared" si="5"/>
        <v>11026035.2082</v>
      </c>
      <c r="AD28" s="21">
        <f t="shared" si="6"/>
        <v>5276528.9624092076</v>
      </c>
      <c r="AF28" s="24"/>
      <c r="AH28" s="21">
        <f t="shared" si="7"/>
        <v>16302564.170609208</v>
      </c>
      <c r="AJ28" s="21">
        <f t="shared" ref="AJ28" si="16">AH28-R28</f>
        <v>461364.8384769056</v>
      </c>
    </row>
    <row r="29" spans="1:36" x14ac:dyDescent="0.25">
      <c r="B29" t="s">
        <v>4</v>
      </c>
      <c r="D29" t="s">
        <v>4</v>
      </c>
      <c r="J29" s="20"/>
      <c r="L29" s="18"/>
      <c r="N29" s="19"/>
      <c r="P29" s="5"/>
      <c r="R29" s="21"/>
      <c r="T29" s="22"/>
      <c r="Z29" s="23"/>
      <c r="AB29" s="21"/>
      <c r="AD29" s="21"/>
      <c r="AF29" s="24"/>
      <c r="AH29" s="21"/>
      <c r="AJ29" s="21"/>
    </row>
    <row r="30" spans="1:36" x14ac:dyDescent="0.25">
      <c r="A30">
        <v>9</v>
      </c>
      <c r="B30" t="s">
        <v>49</v>
      </c>
      <c r="D30">
        <v>2024</v>
      </c>
      <c r="F30" s="3">
        <v>494553500</v>
      </c>
      <c r="H30" s="3">
        <v>7122009</v>
      </c>
      <c r="I30" s="3"/>
      <c r="J30" s="20">
        <f>F30-H30</f>
        <v>487431491</v>
      </c>
      <c r="L30" s="17">
        <v>19192673</v>
      </c>
      <c r="N30" s="19">
        <f>(L30/F30)*J30</f>
        <v>18916281.487575039</v>
      </c>
      <c r="P30" s="5">
        <v>-1673812.24</v>
      </c>
      <c r="R30" s="21">
        <f t="shared" ref="R30" si="17">N30+P30</f>
        <v>17242469.247575041</v>
      </c>
      <c r="T30" s="22">
        <f>L30/F30</f>
        <v>3.8808082442041154E-2</v>
      </c>
      <c r="V30" s="3">
        <v>485901659</v>
      </c>
      <c r="X30">
        <v>2.6120000000000001E-2</v>
      </c>
      <c r="Z30" s="23">
        <v>1.2688082442041154E-2</v>
      </c>
      <c r="AB30" s="21">
        <f t="shared" si="5"/>
        <v>12691751.333080001</v>
      </c>
      <c r="AD30" s="21">
        <f t="shared" si="6"/>
        <v>4986074.9362995503</v>
      </c>
      <c r="AF30" s="24"/>
      <c r="AH30" s="21">
        <f t="shared" si="7"/>
        <v>17677826.269379552</v>
      </c>
      <c r="AJ30" s="21">
        <f t="shared" ref="AJ30" si="18">AH30-R30</f>
        <v>435357.02180451155</v>
      </c>
    </row>
    <row r="31" spans="1:36" x14ac:dyDescent="0.25">
      <c r="B31" t="s">
        <v>4</v>
      </c>
      <c r="D31" t="s">
        <v>4</v>
      </c>
      <c r="J31" s="20"/>
      <c r="L31" s="18"/>
      <c r="N31" s="19"/>
      <c r="P31" s="5"/>
      <c r="R31" s="21"/>
      <c r="T31" s="22"/>
      <c r="Z31" s="23"/>
      <c r="AB31" s="21"/>
      <c r="AD31" s="21"/>
      <c r="AF31" s="24"/>
      <c r="AH31" s="21"/>
      <c r="AJ31" s="21"/>
    </row>
    <row r="32" spans="1:36" x14ac:dyDescent="0.25">
      <c r="A32">
        <v>10</v>
      </c>
      <c r="B32" t="s">
        <v>50</v>
      </c>
      <c r="D32">
        <v>2025</v>
      </c>
      <c r="F32" s="3">
        <v>628318548</v>
      </c>
      <c r="H32" s="3">
        <v>9076226</v>
      </c>
      <c r="I32" s="3"/>
      <c r="J32" s="20">
        <f>F32-H32</f>
        <v>619242322</v>
      </c>
      <c r="L32" s="17">
        <v>31772346</v>
      </c>
      <c r="N32" s="19">
        <f>(L32/F32)*J32</f>
        <v>31313386.139967036</v>
      </c>
      <c r="P32" s="5">
        <v>-5123318.9000000004</v>
      </c>
      <c r="R32" s="21">
        <f t="shared" ref="R32:R40" si="19">N32+P32</f>
        <v>26190067.239967033</v>
      </c>
      <c r="T32" s="22">
        <f>L32/F32</f>
        <v>5.056725780439638E-2</v>
      </c>
      <c r="V32" s="3">
        <v>599632394</v>
      </c>
      <c r="X32" s="18">
        <v>3.3799999999999997E-2</v>
      </c>
      <c r="Z32" s="23">
        <v>2.0403000000000001E-2</v>
      </c>
      <c r="AB32" s="21">
        <f t="shared" si="5"/>
        <v>20267574.917199999</v>
      </c>
      <c r="AD32" s="21">
        <f t="shared" si="6"/>
        <v>7231791.974903306</v>
      </c>
      <c r="AF32" s="24">
        <v>-2746457.07</v>
      </c>
      <c r="AH32" s="21">
        <f t="shared" si="7"/>
        <v>24752909.822103307</v>
      </c>
      <c r="AJ32" s="21">
        <f t="shared" ref="AJ32:AJ40" si="20">AH32-R32</f>
        <v>-1437157.4178637266</v>
      </c>
    </row>
    <row r="33" spans="1:36" x14ac:dyDescent="0.25">
      <c r="D33" t="s">
        <v>4</v>
      </c>
      <c r="J33" s="20"/>
      <c r="L33" s="18"/>
      <c r="N33" s="19"/>
      <c r="P33" s="5"/>
      <c r="R33" s="21"/>
      <c r="T33" s="22"/>
      <c r="X33" t="s">
        <v>4</v>
      </c>
      <c r="Z33" s="23"/>
      <c r="AB33" s="21"/>
      <c r="AD33" s="21"/>
      <c r="AF33" s="24"/>
      <c r="AH33" s="21"/>
      <c r="AJ33" s="21"/>
    </row>
    <row r="34" spans="1:36" x14ac:dyDescent="0.25">
      <c r="A34">
        <v>11</v>
      </c>
      <c r="B34" t="s">
        <v>51</v>
      </c>
      <c r="D34">
        <v>2025</v>
      </c>
      <c r="F34" s="3">
        <v>486703753</v>
      </c>
      <c r="H34" s="3">
        <v>6899699</v>
      </c>
      <c r="I34" s="3"/>
      <c r="J34" s="20">
        <f>F34-H34</f>
        <v>479804054</v>
      </c>
      <c r="L34" s="17">
        <v>19305744</v>
      </c>
      <c r="N34" s="19">
        <f>(L34/F34)*J34</f>
        <v>19032058.371422041</v>
      </c>
      <c r="P34" s="5">
        <v>2751467.7310000001</v>
      </c>
      <c r="R34" s="21">
        <f t="shared" si="19"/>
        <v>21783526.10242204</v>
      </c>
      <c r="T34" s="22">
        <f>L34/F34</f>
        <v>3.9666314222976617E-2</v>
      </c>
      <c r="V34" s="3">
        <v>448761670</v>
      </c>
      <c r="X34">
        <v>3.3799999999999997E-2</v>
      </c>
      <c r="Z34" s="23">
        <v>5.8663142229766208E-3</v>
      </c>
      <c r="AB34" s="21">
        <f t="shared" si="5"/>
        <v>15168144.445999999</v>
      </c>
      <c r="AD34" s="21">
        <f t="shared" si="6"/>
        <v>5693925.065788066</v>
      </c>
      <c r="AF34" s="24">
        <v>-2042376.36</v>
      </c>
      <c r="AH34" s="21">
        <f t="shared" si="7"/>
        <v>18819693.151788063</v>
      </c>
      <c r="AJ34" s="21">
        <f t="shared" si="20"/>
        <v>-2963832.9506339766</v>
      </c>
    </row>
    <row r="35" spans="1:36" x14ac:dyDescent="0.25">
      <c r="B35" t="s">
        <v>4</v>
      </c>
      <c r="D35" t="s">
        <v>4</v>
      </c>
      <c r="J35" s="20"/>
      <c r="L35" s="18"/>
      <c r="N35" s="19"/>
      <c r="P35" s="5"/>
      <c r="R35" s="21"/>
      <c r="T35" s="22"/>
      <c r="X35" t="s">
        <v>4</v>
      </c>
      <c r="Z35" s="23"/>
      <c r="AB35" s="21"/>
      <c r="AD35" s="21"/>
      <c r="AF35" s="24"/>
      <c r="AH35" s="21"/>
      <c r="AJ35" s="21"/>
    </row>
    <row r="36" spans="1:36" x14ac:dyDescent="0.25">
      <c r="A36">
        <v>12</v>
      </c>
      <c r="B36" t="s">
        <v>52</v>
      </c>
      <c r="D36">
        <v>2025</v>
      </c>
      <c r="F36" s="3">
        <v>442249970</v>
      </c>
      <c r="H36" s="3">
        <v>5932001</v>
      </c>
      <c r="I36" s="3"/>
      <c r="J36" s="20">
        <f>F36-H36</f>
        <v>436317969</v>
      </c>
      <c r="L36" s="17">
        <v>22137251</v>
      </c>
      <c r="N36" s="19">
        <f>(L36/F36)*J36</f>
        <v>21840318.939000085</v>
      </c>
      <c r="P36" s="5">
        <v>1805156.56</v>
      </c>
      <c r="R36" s="21">
        <f t="shared" si="19"/>
        <v>23645475.499000084</v>
      </c>
      <c r="T36" s="22">
        <f>L36/F36</f>
        <v>5.0055969478075939E-2</v>
      </c>
      <c r="V36" s="3">
        <v>459040238</v>
      </c>
      <c r="X36">
        <v>3.3799999999999997E-2</v>
      </c>
      <c r="Z36" s="23">
        <v>1.6255969478075942E-2</v>
      </c>
      <c r="AB36" s="21">
        <f t="shared" si="5"/>
        <v>15515560.044399999</v>
      </c>
      <c r="AD36" s="21">
        <f t="shared" si="6"/>
        <v>9365797.9759139996</v>
      </c>
      <c r="AF36" s="24">
        <v>-2083666.95</v>
      </c>
      <c r="AH36" s="21">
        <f t="shared" si="7"/>
        <v>22797691.070314001</v>
      </c>
      <c r="AJ36" s="21">
        <f t="shared" si="20"/>
        <v>-847784.42868608236</v>
      </c>
    </row>
    <row r="37" spans="1:36" x14ac:dyDescent="0.25">
      <c r="J37" s="20"/>
      <c r="L37" s="18"/>
      <c r="N37" s="19"/>
      <c r="P37" s="5"/>
      <c r="R37" s="21"/>
      <c r="T37" s="22"/>
      <c r="Z37" s="23"/>
      <c r="AB37" s="21"/>
      <c r="AD37" s="21"/>
      <c r="AF37" s="24"/>
      <c r="AH37" s="21"/>
      <c r="AJ37" s="21"/>
    </row>
    <row r="38" spans="1:36" x14ac:dyDescent="0.25">
      <c r="A38">
        <v>13</v>
      </c>
      <c r="B38" t="s">
        <v>41</v>
      </c>
      <c r="D38">
        <v>2025</v>
      </c>
      <c r="F38" s="3">
        <v>394135849</v>
      </c>
      <c r="H38" s="3">
        <v>5036700</v>
      </c>
      <c r="I38" s="3"/>
      <c r="J38" s="20">
        <f>F38-H38</f>
        <v>389099149</v>
      </c>
      <c r="L38" s="17">
        <v>16038373</v>
      </c>
      <c r="N38" s="19">
        <f>(L38/F38)*J38</f>
        <v>15833417.085702796</v>
      </c>
      <c r="P38" s="5">
        <v>1044760.324</v>
      </c>
      <c r="R38" s="21">
        <f t="shared" si="19"/>
        <v>16878177.409702796</v>
      </c>
      <c r="T38" s="22">
        <f>L38/F38</f>
        <v>4.0692499910100793E-2</v>
      </c>
      <c r="V38" s="3">
        <v>374144301</v>
      </c>
      <c r="X38">
        <v>3.3799999999999997E-2</v>
      </c>
      <c r="Z38" s="23">
        <v>6.8924999101007967E-3</v>
      </c>
      <c r="AB38" s="21">
        <f t="shared" si="5"/>
        <v>12646077.373799998</v>
      </c>
      <c r="AD38" s="21">
        <f t="shared" si="6"/>
        <v>2194848.0344019458</v>
      </c>
      <c r="AF38" s="24">
        <v>-1673787.09</v>
      </c>
      <c r="AH38" s="21">
        <f t="shared" si="7"/>
        <v>13167138.318201944</v>
      </c>
      <c r="AJ38" s="21">
        <f t="shared" si="20"/>
        <v>-3711039.0915008523</v>
      </c>
    </row>
    <row r="39" spans="1:36" x14ac:dyDescent="0.25">
      <c r="B39" t="s">
        <v>4</v>
      </c>
      <c r="D39" t="s">
        <v>4</v>
      </c>
      <c r="J39" s="20"/>
      <c r="L39" s="18"/>
      <c r="N39" s="19"/>
      <c r="P39" s="5"/>
      <c r="R39" s="21"/>
      <c r="T39" s="22"/>
      <c r="Z39" s="23"/>
      <c r="AB39" s="21"/>
      <c r="AD39" s="21"/>
      <c r="AF39" s="24"/>
      <c r="AH39" s="21"/>
      <c r="AJ39" s="21"/>
    </row>
    <row r="40" spans="1:36" x14ac:dyDescent="0.25">
      <c r="A40">
        <v>14</v>
      </c>
      <c r="B40" t="s">
        <v>42</v>
      </c>
      <c r="D40">
        <v>2025</v>
      </c>
      <c r="F40" s="3">
        <v>372175164</v>
      </c>
      <c r="H40" s="3">
        <v>5045538</v>
      </c>
      <c r="I40" s="3"/>
      <c r="J40" s="20">
        <f>F40-H40</f>
        <v>367129626</v>
      </c>
      <c r="L40" s="17">
        <v>15961733</v>
      </c>
      <c r="N40" s="19">
        <f>(L40/F40)*J40</f>
        <v>15745341.531177126</v>
      </c>
      <c r="P40" s="5">
        <v>4417871.51</v>
      </c>
      <c r="R40" s="21">
        <f t="shared" si="19"/>
        <v>20163213.041177124</v>
      </c>
      <c r="T40" s="22">
        <f>L40/F40</f>
        <v>4.28876898405827E-2</v>
      </c>
      <c r="V40" s="3">
        <v>354298458</v>
      </c>
      <c r="X40">
        <v>3.3799999999999997E-2</v>
      </c>
      <c r="Z40" s="23">
        <v>9.0876898405827036E-3</v>
      </c>
      <c r="AB40" s="21">
        <f t="shared" si="5"/>
        <v>11975287.880399998</v>
      </c>
      <c r="AD40" s="21">
        <f t="shared" si="6"/>
        <v>5759464.9193773707</v>
      </c>
      <c r="AF40" s="24">
        <v>-1577933.83</v>
      </c>
      <c r="AH40" s="21">
        <f t="shared" si="7"/>
        <v>16156818.96977737</v>
      </c>
      <c r="AJ40" s="21">
        <f t="shared" si="20"/>
        <v>-4006394.0713997539</v>
      </c>
    </row>
    <row r="41" spans="1:36" x14ac:dyDescent="0.25">
      <c r="N41" s="6"/>
      <c r="P41" s="5"/>
      <c r="AF41" s="24"/>
    </row>
    <row r="42" spans="1:36" ht="21" customHeight="1" x14ac:dyDescent="0.25">
      <c r="A42">
        <v>15</v>
      </c>
      <c r="B42" s="7" t="s">
        <v>53</v>
      </c>
      <c r="F42" s="8">
        <f>SUM(F18:F40)</f>
        <v>5422196960</v>
      </c>
      <c r="G42" s="9"/>
      <c r="H42" s="8">
        <f>SUM(H18:H40)</f>
        <v>75304736</v>
      </c>
      <c r="I42" s="8"/>
      <c r="J42" s="8">
        <f t="shared" ref="J42:AJ42" si="21">SUM(J18:J40)</f>
        <v>5346892224</v>
      </c>
      <c r="K42" s="8"/>
      <c r="L42" s="10">
        <f>SUM(L18:L40)</f>
        <v>223200761</v>
      </c>
      <c r="M42" s="8"/>
      <c r="N42" s="8">
        <f t="shared" si="21"/>
        <v>220099517.29731721</v>
      </c>
      <c r="O42" s="8"/>
      <c r="P42" s="10">
        <f t="shared" si="21"/>
        <v>-1066415.0149999997</v>
      </c>
      <c r="Q42" s="8"/>
      <c r="R42" s="8">
        <f t="shared" si="21"/>
        <v>219033102.28231719</v>
      </c>
      <c r="S42" s="8"/>
      <c r="T42" s="8"/>
      <c r="U42" s="8"/>
      <c r="V42" s="8">
        <f t="shared" si="21"/>
        <v>5297563192</v>
      </c>
      <c r="W42" s="8"/>
      <c r="X42" s="8"/>
      <c r="Y42" s="8"/>
      <c r="Z42" s="8"/>
      <c r="AA42" s="8"/>
      <c r="AB42" s="8">
        <f t="shared" si="21"/>
        <v>155543886.40351999</v>
      </c>
      <c r="AC42" s="8"/>
      <c r="AD42" s="8">
        <f t="shared" si="21"/>
        <v>59543109.680279933</v>
      </c>
      <c r="AE42" s="8"/>
      <c r="AF42" s="10">
        <f>SUM(AF18:AF40)</f>
        <v>-10124221.300000001</v>
      </c>
      <c r="AG42" s="8"/>
      <c r="AH42" s="8">
        <f t="shared" si="21"/>
        <v>204962774.78379992</v>
      </c>
      <c r="AI42" s="8"/>
      <c r="AJ42" s="10">
        <f t="shared" si="21"/>
        <v>-14070327.498517247</v>
      </c>
    </row>
    <row r="44" spans="1:36" x14ac:dyDescent="0.25">
      <c r="J44" t="s">
        <v>54</v>
      </c>
      <c r="L44" s="4">
        <v>8108249</v>
      </c>
      <c r="N44" s="4"/>
    </row>
    <row r="45" spans="1:36" x14ac:dyDescent="0.25">
      <c r="J45" t="s">
        <v>55</v>
      </c>
      <c r="L45">
        <v>0.98499999999999999</v>
      </c>
    </row>
    <row r="46" spans="1:36" x14ac:dyDescent="0.25">
      <c r="J46" t="s">
        <v>56</v>
      </c>
      <c r="L46" s="5">
        <f>L42-L44</f>
        <v>215092512</v>
      </c>
    </row>
    <row r="47" spans="1:36" x14ac:dyDescent="0.25">
      <c r="J47" t="s">
        <v>57</v>
      </c>
      <c r="L47">
        <v>0.98599999999999999</v>
      </c>
    </row>
    <row r="49" spans="10:12" x14ac:dyDescent="0.25">
      <c r="J49" t="s">
        <v>58</v>
      </c>
      <c r="L49" s="4">
        <f>(L44*L45)+(L46*L47)</f>
        <v>220067842.09699997</v>
      </c>
    </row>
  </sheetData>
  <mergeCells count="3">
    <mergeCell ref="N1:R1"/>
    <mergeCell ref="N2:R2"/>
    <mergeCell ref="N3:R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3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ODM3ODE8L1VzZXJOYW1lPjxEYXRlVGltZT43LzEwLzIwMjUgNjoyOToxNCBQTTwvRGF0ZVRpbWU+PExhYmVsU3RyaW5nPkFFUCBJbnRlcm5hbDwvTGFiZWxTdHJpbmc+PC9pdGVtPjwvbGFiZWxIaXN0b3J5Pg==</Value>
</WrappedLabelHistor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FB719400-4F29-45EE-B52C-53BC888595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703699-3CBF-408A-AD38-00FFB0C4AB38}">
  <ds:schemaRefs>
    <ds:schemaRef ds:uri="f88ffb1c-9230-4705-a789-27bae69f5829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b6888f76-1100-40b0-929b-1efe9044426d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6A694A8-F238-451F-8676-43AEC843E055}">
  <ds:schemaRefs>
    <ds:schemaRef ds:uri="http://www.w3.org/2001/XMLSchema"/>
    <ds:schemaRef ds:uri="http://www.boldonjames.com/2016/02/Classifier/internal/wrappedLabelHistory"/>
  </ds:schemaRefs>
</ds:datastoreItem>
</file>

<file path=customXml/itemProps4.xml><?xml version="1.0" encoding="utf-8"?>
<ds:datastoreItem xmlns:ds="http://schemas.openxmlformats.org/officeDocument/2006/customXml" ds:itemID="{53C35CBC-BB7B-436F-8DD8-B124E857B6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491F3E1-A4FE-4FA9-9B4A-33A8F2AEB59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W09-Fuel Synchronization</vt:lpstr>
      <vt:lpstr>Fuel OU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J.D. Cullop</dc:creator>
  <cp:lastModifiedBy>J.D. Cullop</cp:lastModifiedBy>
  <dcterms:created xsi:type="dcterms:W3CDTF">2025-07-10T18:27:35Z</dcterms:created>
  <dcterms:modified xsi:type="dcterms:W3CDTF">2025-09-09T20:11:33Z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bf3a3dc2-08bb-4dc2-bd38-20f89d3c00b0</vt:lpwstr>
  </property>
  <property fmtid="{D5CDD505-2E9C-101B-9397-08002B2CF9AE}" pid="3" name="bjClsUserRVM">
    <vt:lpwstr>[]</vt:lpwstr>
  </property>
  <property fmtid="{D5CDD505-2E9C-101B-9397-08002B2CF9AE}" pid="4" name="bjSaver">
    <vt:lpwstr>U7bCFXZ+jPoRXT7ibvnAQbE5NnsCQXB+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{26A694A8-F238-451F-8676-43AEC843E055}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