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aepenergy.sharepoint.com/sites/RegulatoryServices/OPCO/Kentucky Power/Regulatory Base Cases/Kentucky Base Case 2025/05 Discovery/Staff/Staff Set 1/Attachments/"/>
    </mc:Choice>
  </mc:AlternateContent>
  <xr:revisionPtr revIDLastSave="28" documentId="8_{3536C17E-62DE-417F-84F1-112282989CD2}" xr6:coauthVersionLast="47" xr6:coauthVersionMax="47" xr10:uidLastSave="{793D932C-E8F4-45A7-BA19-33B747AA21BA}"/>
  <bookViews>
    <workbookView xWindow="-28920" yWindow="-120" windowWidth="29040" windowHeight="15720" xr2:uid="{D51FC943-4695-48B0-9A40-81D1EBF17BB2}"/>
  </bookViews>
  <sheets>
    <sheet name="Summary" sheetId="3" r:id="rId1"/>
    <sheet name="Dist Workpapers" sheetId="10" r:id="rId2"/>
    <sheet name="Gen Workpapers" sheetId="9" r:id="rId3"/>
    <sheet name="KY Additions" sheetId="8" r:id="rId4"/>
  </sheets>
  <definedNames>
    <definedName name="_xlnm._FilterDatabase" localSheetId="2" hidden="1">'Gen Workpapers'!$B$5:$T$22</definedName>
    <definedName name="Dept" localSheetId="1">#REF!</definedName>
    <definedName name="Dept">#REF!</definedName>
    <definedName name="FCast_Yr" localSheetId="1">#REF!</definedName>
    <definedName name="FCast_Yr">#REF!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'Dist Workpapers'!$B$1:$P$73</definedName>
    <definedName name="_xlnm.Print_Area" localSheetId="2">'Gen Workpapers'!$B$1:$N$105</definedName>
    <definedName name="Rt_Inc" localSheetId="1">#REF!</definedName>
    <definedName name="Rt_In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0" l="1"/>
  <c r="K7" i="10"/>
  <c r="K8" i="10"/>
  <c r="K9" i="10"/>
  <c r="K10" i="10"/>
  <c r="K11" i="10"/>
  <c r="K12" i="10"/>
  <c r="K13" i="10"/>
  <c r="K14" i="10"/>
  <c r="K15" i="10"/>
  <c r="K16" i="10"/>
  <c r="K17" i="10"/>
  <c r="K18" i="10"/>
  <c r="K19" i="10"/>
  <c r="K20" i="10"/>
  <c r="K21" i="10"/>
  <c r="K22" i="10"/>
  <c r="K23" i="10"/>
  <c r="K24" i="10"/>
  <c r="E25" i="10"/>
  <c r="F25" i="10"/>
  <c r="G25" i="10"/>
  <c r="F62" i="10" s="1"/>
  <c r="I25" i="10"/>
  <c r="J25" i="10"/>
  <c r="N4" i="10" s="1"/>
  <c r="N5" i="10" s="1"/>
  <c r="D38" i="10"/>
  <c r="E38" i="10"/>
  <c r="F38" i="10"/>
  <c r="F42" i="10"/>
  <c r="K42" i="10"/>
  <c r="F43" i="10"/>
  <c r="K43" i="10"/>
  <c r="F44" i="10"/>
  <c r="K44" i="10"/>
  <c r="F45" i="10"/>
  <c r="K45" i="10"/>
  <c r="F46" i="10"/>
  <c r="K46" i="10"/>
  <c r="F47" i="10"/>
  <c r="K47" i="10"/>
  <c r="D48" i="10"/>
  <c r="E48" i="10"/>
  <c r="F66" i="10" s="1"/>
  <c r="J48" i="10"/>
  <c r="F52" i="10"/>
  <c r="F53" i="10"/>
  <c r="F54" i="10"/>
  <c r="F56" i="10"/>
  <c r="F57" i="10"/>
  <c r="I58" i="10"/>
  <c r="M79" i="10"/>
  <c r="M80" i="10" s="1"/>
  <c r="I80" i="10"/>
  <c r="J80" i="10"/>
  <c r="N79" i="10" s="1"/>
  <c r="K6" i="9"/>
  <c r="L6" i="9"/>
  <c r="O6" i="9"/>
  <c r="Q6" i="9"/>
  <c r="S6" i="9"/>
  <c r="T6" i="9" s="1"/>
  <c r="K7" i="9"/>
  <c r="L7" i="9"/>
  <c r="K8" i="9"/>
  <c r="L8" i="9"/>
  <c r="K9" i="9"/>
  <c r="L9" i="9"/>
  <c r="K10" i="9"/>
  <c r="L10" i="9"/>
  <c r="K11" i="9"/>
  <c r="L11" i="9"/>
  <c r="K12" i="9"/>
  <c r="L12" i="9"/>
  <c r="K13" i="9"/>
  <c r="L13" i="9"/>
  <c r="K14" i="9"/>
  <c r="L14" i="9"/>
  <c r="K15" i="9"/>
  <c r="L15" i="9"/>
  <c r="K16" i="9"/>
  <c r="L16" i="9"/>
  <c r="K17" i="9"/>
  <c r="L17" i="9"/>
  <c r="K18" i="9"/>
  <c r="L18" i="9"/>
  <c r="K19" i="9"/>
  <c r="L19" i="9"/>
  <c r="K20" i="9"/>
  <c r="L20" i="9"/>
  <c r="E21" i="9"/>
  <c r="F21" i="9"/>
  <c r="G21" i="9"/>
  <c r="F95" i="9" s="1"/>
  <c r="I21" i="9"/>
  <c r="J21" i="9"/>
  <c r="F26" i="9"/>
  <c r="F34" i="9" s="1"/>
  <c r="D34" i="9"/>
  <c r="E34"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F68" i="9"/>
  <c r="K68" i="9"/>
  <c r="F69" i="9"/>
  <c r="K69" i="9"/>
  <c r="D70" i="9"/>
  <c r="E70" i="9"/>
  <c r="F99" i="9" s="1"/>
  <c r="J70" i="9"/>
  <c r="F89" i="9"/>
  <c r="F90" i="9"/>
  <c r="I91" i="9"/>
  <c r="A1" i="3"/>
  <c r="F91" i="9" l="1"/>
  <c r="F58" i="10"/>
  <c r="L25" i="10"/>
  <c r="F48" i="10"/>
  <c r="F65" i="10" s="1"/>
  <c r="K48" i="10"/>
  <c r="G27" i="10"/>
  <c r="K25" i="10"/>
  <c r="F64" i="10" s="1"/>
  <c r="I65" i="10" s="1"/>
  <c r="O79" i="10"/>
  <c r="P79" i="10" s="1"/>
  <c r="Q79" i="10" s="1"/>
  <c r="N80" i="10"/>
  <c r="F70" i="9"/>
  <c r="F98" i="9" s="1"/>
  <c r="K70" i="9"/>
  <c r="L21" i="9"/>
  <c r="K21" i="9"/>
  <c r="F97" i="9" s="1"/>
  <c r="I98" i="9" s="1"/>
  <c r="M97" i="9" s="1"/>
  <c r="N97" i="9" s="1"/>
  <c r="O97" i="9" s="1"/>
  <c r="P97" i="9" s="1"/>
  <c r="AH18" i="3"/>
  <c r="T18" i="3"/>
  <c r="U18" i="3"/>
  <c r="J18" i="3"/>
  <c r="K18" i="3"/>
  <c r="W16" i="3"/>
  <c r="W15" i="3"/>
  <c r="W14" i="3"/>
  <c r="X14" i="3" s="1"/>
  <c r="W13" i="3"/>
  <c r="X13" i="3" s="1"/>
  <c r="Z13" i="3" s="1"/>
  <c r="W12" i="3"/>
  <c r="X12" i="3" s="1"/>
  <c r="Z12" i="3" s="1"/>
  <c r="W11" i="3"/>
  <c r="W10" i="3"/>
  <c r="W9" i="3"/>
  <c r="W8" i="3"/>
  <c r="X8" i="3" s="1"/>
  <c r="Z8" i="3" s="1"/>
  <c r="N16" i="3"/>
  <c r="N15" i="3"/>
  <c r="N14" i="3"/>
  <c r="N13" i="3"/>
  <c r="N12" i="3"/>
  <c r="N11" i="3"/>
  <c r="N10" i="3"/>
  <c r="N9" i="3"/>
  <c r="M9" i="3"/>
  <c r="M10" i="3"/>
  <c r="M11" i="3"/>
  <c r="M12" i="3"/>
  <c r="M13" i="3"/>
  <c r="M14" i="3"/>
  <c r="M15" i="3"/>
  <c r="M16" i="3"/>
  <c r="H8" i="3"/>
  <c r="N8" i="3" s="1"/>
  <c r="AD18" i="3"/>
  <c r="S18" i="3"/>
  <c r="I18" i="3"/>
  <c r="E9" i="3"/>
  <c r="E10" i="3"/>
  <c r="E11" i="3"/>
  <c r="E12" i="3"/>
  <c r="E13" i="3"/>
  <c r="E14" i="3"/>
  <c r="E15" i="3"/>
  <c r="E16" i="3"/>
  <c r="C18" i="3"/>
  <c r="B18" i="3"/>
  <c r="E17" i="3"/>
  <c r="E8" i="3"/>
  <c r="F63" i="10" l="1"/>
  <c r="H65" i="10" s="1"/>
  <c r="H66" i="10" s="1"/>
  <c r="P4" i="10"/>
  <c r="P5" i="10" s="1"/>
  <c r="O80" i="10"/>
  <c r="N83" i="10" s="1"/>
  <c r="M83" i="10"/>
  <c r="M64" i="10"/>
  <c r="N64" i="10" s="1"/>
  <c r="P64" i="10" s="1"/>
  <c r="Q64" i="10" s="1"/>
  <c r="I66" i="10"/>
  <c r="F96" i="9"/>
  <c r="E7" i="3"/>
  <c r="E18" i="3" s="1"/>
  <c r="D18" i="3"/>
  <c r="P11" i="3"/>
  <c r="W17" i="3"/>
  <c r="Z17" i="3" s="1"/>
  <c r="H18" i="3"/>
  <c r="P9" i="3"/>
  <c r="P16" i="3"/>
  <c r="M8" i="3"/>
  <c r="P8" i="3" s="1"/>
  <c r="P15" i="3"/>
  <c r="P13" i="3"/>
  <c r="P14" i="3"/>
  <c r="P10" i="3"/>
  <c r="Z14" i="3"/>
  <c r="P12" i="3"/>
  <c r="X15" i="3"/>
  <c r="Z15" i="3" s="1"/>
  <c r="X9" i="3"/>
  <c r="Z9" i="3" s="1"/>
  <c r="X16" i="3"/>
  <c r="Z16" i="3" s="1"/>
  <c r="X10" i="3"/>
  <c r="Z10" i="3" s="1"/>
  <c r="X11" i="3"/>
  <c r="Z11" i="3" s="1"/>
  <c r="F67" i="10" l="1"/>
  <c r="G67" i="10" s="1"/>
  <c r="L64" i="10"/>
  <c r="L65" i="10" s="1"/>
  <c r="M65" i="10" s="1"/>
  <c r="P80" i="10"/>
  <c r="L97" i="9"/>
  <c r="L98" i="9" s="1"/>
  <c r="M98" i="9" s="1"/>
  <c r="N98" i="9" s="1"/>
  <c r="F100" i="9"/>
  <c r="H98" i="9"/>
  <c r="G18" i="3"/>
  <c r="R18" i="3"/>
  <c r="L68" i="10" l="1"/>
  <c r="N65" i="10"/>
  <c r="P65" i="10" s="1"/>
  <c r="Q80" i="10"/>
  <c r="Q83" i="10" s="1"/>
  <c r="O83" i="10"/>
  <c r="L101" i="9"/>
  <c r="O98" i="9"/>
  <c r="M101" i="9"/>
  <c r="M17" i="3"/>
  <c r="P17" i="3" s="1"/>
  <c r="M68" i="10" l="1"/>
  <c r="P83" i="10"/>
  <c r="Q65" i="10"/>
  <c r="Q68" i="10" s="1"/>
  <c r="N68" i="10"/>
  <c r="P98" i="9"/>
  <c r="P101" i="9" s="1"/>
  <c r="N101" i="9"/>
  <c r="F101" i="9" s="1"/>
  <c r="V14" i="8"/>
  <c r="W14" i="8" s="1"/>
  <c r="X14" i="8" s="1"/>
  <c r="S14" i="8"/>
  <c r="R14" i="8"/>
  <c r="Q14" i="8"/>
  <c r="P14" i="8"/>
  <c r="O14" i="8"/>
  <c r="N14" i="8"/>
  <c r="M14" i="8"/>
  <c r="L14" i="8"/>
  <c r="K14" i="8"/>
  <c r="J14" i="8"/>
  <c r="J15" i="8" s="1"/>
  <c r="I14" i="8"/>
  <c r="H14" i="8"/>
  <c r="E14" i="8"/>
  <c r="D14" i="8"/>
  <c r="C14" i="8"/>
  <c r="Q15" i="8"/>
  <c r="V11" i="8"/>
  <c r="W11" i="8" s="1"/>
  <c r="X11" i="8" s="1"/>
  <c r="S11" i="8"/>
  <c r="R11" i="8"/>
  <c r="Q11" i="8"/>
  <c r="P11" i="8"/>
  <c r="P12" i="8" s="1"/>
  <c r="O11" i="8"/>
  <c r="O12" i="8" s="1"/>
  <c r="N11" i="8"/>
  <c r="N12" i="8" s="1"/>
  <c r="M11" i="8"/>
  <c r="L11" i="8"/>
  <c r="K11" i="8"/>
  <c r="J11" i="8"/>
  <c r="I11" i="8"/>
  <c r="H11" i="8"/>
  <c r="E11" i="8"/>
  <c r="D11" i="8"/>
  <c r="C11" i="8"/>
  <c r="X7" i="8"/>
  <c r="W7" i="8"/>
  <c r="V7" i="8"/>
  <c r="S7" i="8"/>
  <c r="R7" i="8"/>
  <c r="Q7" i="8"/>
  <c r="P7" i="8"/>
  <c r="O7" i="8"/>
  <c r="N7" i="8"/>
  <c r="M7" i="8"/>
  <c r="L7" i="8"/>
  <c r="K7" i="8"/>
  <c r="J7" i="8"/>
  <c r="I7" i="8"/>
  <c r="H7" i="8"/>
  <c r="E7" i="8"/>
  <c r="D7" i="8"/>
  <c r="C7" i="8"/>
  <c r="B7" i="8"/>
  <c r="P68" i="10" l="1"/>
  <c r="F68" i="10"/>
  <c r="O101" i="9"/>
  <c r="I15" i="8"/>
  <c r="N15" i="8"/>
  <c r="N17" i="8" s="1"/>
  <c r="O15" i="8"/>
  <c r="O17" i="8" s="1"/>
  <c r="R15" i="8"/>
  <c r="E15" i="8"/>
  <c r="R12" i="8"/>
  <c r="R17" i="8" s="1"/>
  <c r="H12" i="8"/>
  <c r="J12" i="8"/>
  <c r="J17" i="8" s="1"/>
  <c r="K12" i="8"/>
  <c r="V15" i="8"/>
  <c r="T14" i="8"/>
  <c r="Y7" i="3" s="1"/>
  <c r="Y18" i="3" s="1"/>
  <c r="S12" i="8"/>
  <c r="D12" i="8"/>
  <c r="F11" i="8"/>
  <c r="L7" i="3" s="1"/>
  <c r="C15" i="8"/>
  <c r="M15" i="8"/>
  <c r="D15" i="8"/>
  <c r="F14" i="8"/>
  <c r="O7" i="3" s="1"/>
  <c r="E12" i="8"/>
  <c r="I12" i="8"/>
  <c r="Q12" i="8"/>
  <c r="Q17" i="8" s="1"/>
  <c r="H15" i="8"/>
  <c r="P15" i="8"/>
  <c r="P17" i="8" s="1"/>
  <c r="L12" i="8"/>
  <c r="K15" i="8"/>
  <c r="S15" i="8"/>
  <c r="M12" i="8"/>
  <c r="T11" i="8"/>
  <c r="V7" i="3" s="1"/>
  <c r="L15" i="8"/>
  <c r="X12" i="8"/>
  <c r="W12" i="8"/>
  <c r="V12" i="8"/>
  <c r="C12" i="8"/>
  <c r="H17" i="8" l="1"/>
  <c r="E17" i="8"/>
  <c r="K17" i="8"/>
  <c r="M17" i="8"/>
  <c r="I17" i="8"/>
  <c r="V17" i="8"/>
  <c r="C17" i="8"/>
  <c r="W7" i="3"/>
  <c r="W18" i="3" s="1"/>
  <c r="V18" i="3"/>
  <c r="L17" i="8"/>
  <c r="N7" i="3"/>
  <c r="N18" i="3" s="1"/>
  <c r="L18" i="3"/>
  <c r="S17" i="8"/>
  <c r="T12" i="8"/>
  <c r="W15" i="8"/>
  <c r="W17" i="8" s="1"/>
  <c r="F15" i="8"/>
  <c r="X15" i="8"/>
  <c r="X17" i="8" s="1"/>
  <c r="D17" i="8"/>
  <c r="O18" i="3"/>
  <c r="F12" i="8"/>
  <c r="T15" i="8"/>
  <c r="M7" i="3"/>
  <c r="F17" i="8" l="1"/>
  <c r="X7" i="3"/>
  <c r="X18" i="3" s="1"/>
  <c r="T17" i="8"/>
  <c r="M18" i="3"/>
  <c r="P7" i="3"/>
  <c r="Z7" i="3" l="1"/>
  <c r="Z18" i="3" s="1"/>
  <c r="AG18" i="3"/>
  <c r="AC18" i="3"/>
  <c r="P18" i="3"/>
  <c r="AF18" i="3" l="1"/>
  <c r="AB18" i="3"/>
</calcChain>
</file>

<file path=xl/sharedStrings.xml><?xml version="1.0" encoding="utf-8"?>
<sst xmlns="http://schemas.openxmlformats.org/spreadsheetml/2006/main" count="272" uniqueCount="134">
  <si>
    <t>Organization</t>
  </si>
  <si>
    <t>Severance</t>
  </si>
  <si>
    <t>Backfilled</t>
  </si>
  <si>
    <t>Generation</t>
  </si>
  <si>
    <t>Project Solutions</t>
  </si>
  <si>
    <t>Nuclear Generation</t>
  </si>
  <si>
    <t>Energy Delivery</t>
  </si>
  <si>
    <t>Energy Services</t>
  </si>
  <si>
    <t>Chief Financial Officer</t>
  </si>
  <si>
    <t>Chief Executive Officer</t>
  </si>
  <si>
    <t>Total</t>
  </si>
  <si>
    <t>$ in millions</t>
  </si>
  <si>
    <t>Est Budget Split</t>
  </si>
  <si>
    <t>Headcount</t>
  </si>
  <si>
    <t>2024 Estimate ($M's)</t>
  </si>
  <si>
    <t>2025 Estimate ($M's)</t>
  </si>
  <si>
    <t>Severed</t>
  </si>
  <si>
    <t>Additional Backfill</t>
  </si>
  <si>
    <t>Est Change</t>
  </si>
  <si>
    <t>Severed Salary</t>
  </si>
  <si>
    <t>Backfill Salary</t>
  </si>
  <si>
    <t>Open Positions</t>
  </si>
  <si>
    <t>Extensions and Promotions</t>
  </si>
  <si>
    <t>Change</t>
  </si>
  <si>
    <r>
      <t xml:space="preserve">Estimated Overhead Rate </t>
    </r>
    <r>
      <rPr>
        <b/>
        <sz val="9"/>
        <color theme="1"/>
        <rFont val="Calibri"/>
        <family val="2"/>
        <scheme val="minor"/>
      </rPr>
      <t>(Fringes, incentives, etc.)</t>
    </r>
  </si>
  <si>
    <t>Outside Services</t>
  </si>
  <si>
    <t>Estimated Total Change</t>
  </si>
  <si>
    <t>Promotions</t>
  </si>
  <si>
    <t>O&amp;M</t>
  </si>
  <si>
    <t>Capital</t>
  </si>
  <si>
    <t>Other</t>
  </si>
  <si>
    <t>Utilities</t>
  </si>
  <si>
    <t>Chief Commercial Officer Regulated</t>
  </si>
  <si>
    <t>Grid Solutions Govt Affairs</t>
  </si>
  <si>
    <t>AEPSC Bill</t>
  </si>
  <si>
    <t>Total Estimated Change</t>
  </si>
  <si>
    <t>average salary</t>
  </si>
  <si>
    <t>KY</t>
  </si>
  <si>
    <t>Estimated Regulatory and Legislative OpCo Budget</t>
  </si>
  <si>
    <t>2024 Headcount Assumptions</t>
  </si>
  <si>
    <t>2025 Headcount Assumptions</t>
  </si>
  <si>
    <t>Oct</t>
  </si>
  <si>
    <t>Nov</t>
  </si>
  <si>
    <t>Dec</t>
  </si>
  <si>
    <t>Jan</t>
  </si>
  <si>
    <t>Feb</t>
  </si>
  <si>
    <t>Mar</t>
  </si>
  <si>
    <t>Apr</t>
  </si>
  <si>
    <t>May</t>
  </si>
  <si>
    <t>Jun</t>
  </si>
  <si>
    <t>Jul</t>
  </si>
  <si>
    <t>Aug</t>
  </si>
  <si>
    <t>Sep</t>
  </si>
  <si>
    <t>KPCo</t>
  </si>
  <si>
    <t>Avg Per FTE</t>
  </si>
  <si>
    <t>2024 Salary Assumptions</t>
  </si>
  <si>
    <t>2025 Salary Assumptions</t>
  </si>
  <si>
    <t>2026
Total</t>
  </si>
  <si>
    <t>2027
Total</t>
  </si>
  <si>
    <t>2028
Total</t>
  </si>
  <si>
    <t>Total Direct Labor</t>
  </si>
  <si>
    <t>Travel</t>
  </si>
  <si>
    <t>Total Travel</t>
  </si>
  <si>
    <t>Total Direct Budget</t>
  </si>
  <si>
    <t>Groups are defined as any combination of severances and/or backfills that must be kept together to achieve specific tasks or functions.  Individual severance decisions should be evaluated in isolation when possible.  If severance decisions are based on savings due to an organizational restructuring, then those all of those changes should include the same group number.  In the example provided, the group originally was comprised of a director, 4 managers and 10 analysts.  In its final state, the original director, 2 managers and 2 analysts were approved for a severance while a new director was brought into the group and 3 new analysts were hired with a skill set more appropriate for the new structure of the group.</t>
  </si>
  <si>
    <t>Positive</t>
  </si>
  <si>
    <t>Payback Period Months</t>
  </si>
  <si>
    <t>Net 18 month (cost)/benefit</t>
  </si>
  <si>
    <t>2025 Eliminated Open Positions</t>
  </si>
  <si>
    <t>Cumulative</t>
  </si>
  <si>
    <t>2024 Eliminated Open Positions</t>
  </si>
  <si>
    <t>Annual</t>
  </si>
  <si>
    <t>2025 Net On-Going Savings</t>
  </si>
  <si>
    <t>Total On-going Savings</t>
  </si>
  <si>
    <t>2024 Net On-going Savings</t>
  </si>
  <si>
    <t>Year</t>
  </si>
  <si>
    <t>2024 Severance Cost</t>
  </si>
  <si>
    <t>Cash Flows</t>
  </si>
  <si>
    <r>
      <rPr>
        <i/>
        <vertAlign val="superscript"/>
        <sz val="11"/>
        <rFont val="Calibri"/>
        <family val="2"/>
        <scheme val="minor"/>
      </rPr>
      <t>1</t>
    </r>
    <r>
      <rPr>
        <i/>
        <sz val="11"/>
        <rFont val="Calibri"/>
        <family val="2"/>
        <scheme val="minor"/>
      </rPr>
      <t xml:space="preserve"> - Salary Only.  Excludes Overheads, Fringes, Incentives, and O&amp;M/Capital splits.  Those savings will be estimated by CP&amp;B.</t>
    </r>
  </si>
  <si>
    <t>Reason</t>
  </si>
  <si>
    <t>Annual Cost</t>
  </si>
  <si>
    <t>Dept ID</t>
  </si>
  <si>
    <t>2024 Cost</t>
  </si>
  <si>
    <r>
      <t>Annual Labor Cost</t>
    </r>
    <r>
      <rPr>
        <b/>
        <vertAlign val="superscript"/>
        <sz val="11"/>
        <color theme="1"/>
        <rFont val="Calibri"/>
        <family val="2"/>
        <scheme val="minor"/>
      </rPr>
      <t>1</t>
    </r>
  </si>
  <si>
    <t># Weeks</t>
  </si>
  <si>
    <t>Pay Grade</t>
  </si>
  <si>
    <t>Incremental Outside Services (if any)</t>
  </si>
  <si>
    <t>Extensions Beyond July 1, 2024</t>
  </si>
  <si>
    <t># of Weeks Promoted</t>
  </si>
  <si>
    <t>2024 Budget Reduction</t>
  </si>
  <si>
    <r>
      <rPr>
        <b/>
        <sz val="11"/>
        <color theme="1"/>
        <rFont val="Calibri"/>
        <family val="2"/>
        <scheme val="minor"/>
      </rPr>
      <t>Annual Budget Reduction</t>
    </r>
    <r>
      <rPr>
        <b/>
        <vertAlign val="superscript"/>
        <sz val="11"/>
        <color theme="1"/>
        <rFont val="Calibri"/>
        <family val="2"/>
        <scheme val="minor"/>
      </rPr>
      <t>1</t>
    </r>
  </si>
  <si>
    <t>Position #</t>
  </si>
  <si>
    <t>Other Labor Costs (if any)</t>
  </si>
  <si>
    <t>Open Positions Eliminated (if any)</t>
  </si>
  <si>
    <t>Total Denied</t>
  </si>
  <si>
    <r>
      <t>Estimated Labor Cost</t>
    </r>
    <r>
      <rPr>
        <b/>
        <vertAlign val="superscript"/>
        <sz val="11"/>
        <color theme="1"/>
        <rFont val="Calibri"/>
        <family val="2"/>
        <scheme val="minor"/>
      </rPr>
      <t>1</t>
    </r>
  </si>
  <si>
    <t>Severance Cost</t>
  </si>
  <si>
    <r>
      <t>Estimated Labor Savings</t>
    </r>
    <r>
      <rPr>
        <b/>
        <vertAlign val="superscript"/>
        <sz val="11"/>
        <color theme="1"/>
        <rFont val="Calibri"/>
        <family val="2"/>
        <scheme val="minor"/>
      </rPr>
      <t>1</t>
    </r>
  </si>
  <si>
    <t># Employees</t>
  </si>
  <si>
    <t>Backfill Cost Assumption</t>
  </si>
  <si>
    <t>Recommended Severances Denied</t>
  </si>
  <si>
    <t xml:space="preserve">  (a)-(b)</t>
  </si>
  <si>
    <t>(b)</t>
  </si>
  <si>
    <t>(a)</t>
  </si>
  <si>
    <t>Total Ongoing Savings</t>
  </si>
  <si>
    <t>Generating Assets I&amp;M/KP</t>
  </si>
  <si>
    <t>24 with 3 mo float</t>
  </si>
  <si>
    <t>Net Ongoing Savings</t>
  </si>
  <si>
    <t>Group Name</t>
  </si>
  <si>
    <t>Backfill (if any)</t>
  </si>
  <si>
    <t>Recommended Voluntary and Involuntary Severances Accepted</t>
  </si>
  <si>
    <t>Department Name:</t>
  </si>
  <si>
    <t>Table from 5/20 submission</t>
  </si>
  <si>
    <t>on-going savings change</t>
  </si>
  <si>
    <t>Net 18 month benefit change from 5/20</t>
  </si>
  <si>
    <t>00114733</t>
  </si>
  <si>
    <t>R27</t>
  </si>
  <si>
    <t>00114454</t>
  </si>
  <si>
    <t>00114437</t>
  </si>
  <si>
    <t>Job family promotion: Bus Ops dept re-org to absorb Info Serv Supvr retirement with Bud Analyst promotion to lead that group</t>
  </si>
  <si>
    <t>00114307</t>
  </si>
  <si>
    <t>24 pay grade sheet located behind this worksheet for reference</t>
  </si>
  <si>
    <t>Used '24 grade structure- average of Bottom third</t>
  </si>
  <si>
    <t>Group 4: not backfilling</t>
  </si>
  <si>
    <t>Group 3:  fill senior or principal role with entry level grade</t>
  </si>
  <si>
    <t>Group 2: re-org of dept's org to promote current employee and combine responsibilities.</t>
  </si>
  <si>
    <t>Group 1: replace at bottom third average</t>
  </si>
  <si>
    <t>Group Name definition:</t>
  </si>
  <si>
    <t>8*</t>
  </si>
  <si>
    <t>add'l savings</t>
  </si>
  <si>
    <t>lowered cost</t>
  </si>
  <si>
    <t>current</t>
  </si>
  <si>
    <t>5/17 submitted</t>
  </si>
  <si>
    <t>denotes changes and savings additions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</si>
</sst>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_);_(* \(#,##0.0\);_(* &quot;-&quot;??_);_(@_)"/>
    <numFmt numFmtId="165" formatCode="_(* #,##0_);_(* \(#,##0\);_(* &quot;-&quot;??_);_(@_)"/>
    <numFmt numFmtId="166" formatCode="_(* #,##0.000_);_(* \(#,##0.000\);_(* &quot;-&quot;??_);_(@_)"/>
    <numFmt numFmtId="167" formatCode="_(&quot;$&quot;* #,##0_);_(&quot;$&quot;* \(#,##0\);_(&quot;$&quot;*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9"/>
      <color theme="1"/>
      <name val="Calibri"/>
      <family val="2"/>
      <scheme val="minor"/>
    </font>
    <font>
      <b/>
      <sz val="16"/>
      <color theme="1"/>
      <name val="Calibri"/>
      <family val="2"/>
      <scheme val="minor"/>
    </font>
    <font>
      <i/>
      <sz val="11"/>
      <color theme="1"/>
      <name val="Calibri"/>
      <family val="2"/>
      <scheme val="minor"/>
    </font>
    <font>
      <b/>
      <sz val="11"/>
      <color rgb="FFFF0000"/>
      <name val="Calibri"/>
      <family val="2"/>
      <scheme val="minor"/>
    </font>
    <font>
      <sz val="11"/>
      <color indexed="8"/>
      <name val="Calibri"/>
      <family val="2"/>
      <scheme val="minor"/>
    </font>
    <font>
      <sz val="11"/>
      <color rgb="FFFF0000"/>
      <name val="Calibri"/>
      <family val="2"/>
      <scheme val="minor"/>
    </font>
    <font>
      <i/>
      <sz val="11"/>
      <name val="Calibri"/>
      <family val="2"/>
      <scheme val="minor"/>
    </font>
    <font>
      <i/>
      <vertAlign val="superscript"/>
      <sz val="11"/>
      <name val="Calibri"/>
      <family val="2"/>
      <scheme val="minor"/>
    </font>
    <font>
      <b/>
      <vertAlign val="superscript"/>
      <sz val="11"/>
      <color theme="1"/>
      <name val="Calibri"/>
      <family val="2"/>
      <scheme val="minor"/>
    </font>
    <font>
      <sz val="14"/>
      <color theme="1"/>
      <name val="Calibri"/>
      <family val="2"/>
      <scheme val="minor"/>
    </font>
    <font>
      <b/>
      <sz val="14"/>
      <color theme="1"/>
      <name val="Calibri"/>
      <family val="2"/>
      <scheme val="minor"/>
    </font>
    <font>
      <b/>
      <sz val="16"/>
      <color rgb="FFFF0000"/>
      <name val="Calibri"/>
      <family val="2"/>
      <scheme val="minor"/>
    </font>
    <font>
      <u val="singleAccounting"/>
      <sz val="11"/>
      <color theme="1"/>
      <name val="Calibri"/>
      <family val="2"/>
      <scheme val="minor"/>
    </font>
    <font>
      <sz val="9"/>
      <color theme="1"/>
      <name val="Calibri"/>
      <family val="2"/>
      <scheme val="minor"/>
    </font>
    <font>
      <b/>
      <i/>
      <sz val="11"/>
      <color rgb="FFFF0000"/>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4" tint="0.59999389629810485"/>
        <bgColor indexed="64"/>
      </patternFill>
    </fill>
    <fill>
      <patternFill patternType="solid">
        <fgColor rgb="FFCCCCFF"/>
        <bgColor indexed="64"/>
      </patternFill>
    </fill>
    <fill>
      <patternFill patternType="solid">
        <fgColor theme="5" tint="0.79998168889431442"/>
        <bgColor indexed="64"/>
      </patternFill>
    </fill>
    <fill>
      <patternFill patternType="solid">
        <fgColor rgb="FFCCFFFF"/>
        <bgColor indexed="64"/>
      </patternFill>
    </fill>
    <fill>
      <patternFill patternType="solid">
        <fgColor rgb="FFCCFFCC"/>
        <bgColor indexed="64"/>
      </patternFill>
    </fill>
    <fill>
      <patternFill patternType="solid">
        <fgColor theme="5" tint="0.39997558519241921"/>
        <bgColor indexed="64"/>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bottom style="thin">
        <color theme="0" tint="-0.2499465926084170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theme="0" tint="-0.24994659260841701"/>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bottom/>
      <diagonal/>
    </border>
    <border>
      <left style="medium">
        <color indexed="64"/>
      </left>
      <right style="thin">
        <color auto="1"/>
      </right>
      <top/>
      <bottom style="thin">
        <color theme="0" tint="-0.24994659260841701"/>
      </bottom>
      <diagonal/>
    </border>
    <border>
      <left style="thin">
        <color auto="1"/>
      </left>
      <right style="medium">
        <color indexed="64"/>
      </right>
      <top/>
      <bottom/>
      <diagonal/>
    </border>
    <border>
      <left style="thin">
        <color auto="1"/>
      </left>
      <right style="medium">
        <color indexed="64"/>
      </right>
      <top/>
      <bottom style="thin">
        <color theme="0" tint="-0.24994659260841701"/>
      </bottom>
      <diagonal/>
    </border>
    <border>
      <left style="medium">
        <color indexed="64"/>
      </left>
      <right style="thin">
        <color auto="1"/>
      </right>
      <top style="thin">
        <color theme="0" tint="-0.24994659260841701"/>
      </top>
      <bottom style="thin">
        <color theme="0" tint="-0.24994659260841701"/>
      </bottom>
      <diagonal/>
    </border>
    <border>
      <left style="thin">
        <color auto="1"/>
      </left>
      <right style="medium">
        <color indexed="64"/>
      </right>
      <top style="thin">
        <color theme="0" tint="-0.24994659260841701"/>
      </top>
      <bottom style="thin">
        <color theme="0" tint="-0.24994659260841701"/>
      </bottom>
      <diagonal/>
    </border>
    <border>
      <left style="thin">
        <color auto="1"/>
      </left>
      <right/>
      <top style="thin">
        <color auto="1"/>
      </top>
      <bottom/>
      <diagonal/>
    </border>
    <border>
      <left style="thin">
        <color auto="1"/>
      </left>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top/>
      <bottom/>
      <diagonal/>
    </border>
    <border>
      <left style="thin">
        <color auto="1"/>
      </left>
      <right style="thin">
        <color auto="1"/>
      </right>
      <top style="thin">
        <color theme="0" tint="-0.24994659260841701"/>
      </top>
      <bottom style="thin">
        <color auto="1"/>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Dashed">
        <color indexed="64"/>
      </right>
      <top/>
      <bottom style="mediumDashed">
        <color indexed="64"/>
      </bottom>
      <diagonal/>
    </border>
    <border>
      <left style="mediumDashed">
        <color indexed="64"/>
      </left>
      <right/>
      <top/>
      <bottom style="mediumDashed">
        <color indexed="64"/>
      </bottom>
      <diagonal/>
    </border>
    <border>
      <left style="medium">
        <color indexed="64"/>
      </left>
      <right style="mediumDashed">
        <color indexed="64"/>
      </right>
      <top/>
      <bottom style="mediumDashed">
        <color indexed="64"/>
      </bottom>
      <diagonal/>
    </border>
    <border>
      <left style="thin">
        <color indexed="64"/>
      </left>
      <right style="mediumDashed">
        <color indexed="64"/>
      </right>
      <top style="medium">
        <color indexed="64"/>
      </top>
      <bottom/>
      <diagonal/>
    </border>
    <border>
      <left style="mediumDashed">
        <color indexed="64"/>
      </left>
      <right style="thin">
        <color indexed="64"/>
      </right>
      <top style="medium">
        <color indexed="64"/>
      </top>
      <bottom/>
      <diagonal/>
    </border>
    <border>
      <left style="medium">
        <color indexed="64"/>
      </left>
      <right style="mediumDashed">
        <color indexed="64"/>
      </right>
      <top style="mediumDashed">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9">
    <xf numFmtId="0" fontId="0" fillId="0" borderId="0"/>
    <xf numFmtId="43" fontId="1" fillId="0" borderId="0" applyFont="0" applyFill="0" applyBorder="0" applyAlignment="0" applyProtection="0"/>
    <xf numFmtId="0" fontId="7" fillId="0" borderId="0"/>
    <xf numFmtId="9" fontId="7"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70">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center" vertical="center" wrapText="1"/>
    </xf>
    <xf numFmtId="0" fontId="4" fillId="0" borderId="0" xfId="0" applyFont="1" applyAlignment="1">
      <alignment vertical="center"/>
    </xf>
    <xf numFmtId="0" fontId="5" fillId="0" borderId="0" xfId="0" applyFont="1" applyAlignment="1">
      <alignment vertical="center"/>
    </xf>
    <xf numFmtId="0" fontId="0" fillId="0" borderId="2" xfId="0" applyBorder="1" applyAlignment="1">
      <alignment vertical="center"/>
    </xf>
    <xf numFmtId="0" fontId="0" fillId="0" borderId="3" xfId="0" applyBorder="1" applyAlignment="1">
      <alignment vertical="center"/>
    </xf>
    <xf numFmtId="0" fontId="2" fillId="2" borderId="1" xfId="0" applyFont="1" applyFill="1" applyBorder="1" applyAlignment="1">
      <alignment horizontal="center" vertical="center" wrapText="1"/>
    </xf>
    <xf numFmtId="0" fontId="0" fillId="0" borderId="7" xfId="0" applyBorder="1" applyAlignment="1">
      <alignment vertical="center"/>
    </xf>
    <xf numFmtId="0" fontId="2" fillId="2" borderId="1" xfId="0" applyFont="1" applyFill="1" applyBorder="1" applyAlignment="1">
      <alignment horizontal="right" vertical="center"/>
    </xf>
    <xf numFmtId="164" fontId="0" fillId="0" borderId="3" xfId="1" applyNumberFormat="1" applyFont="1" applyBorder="1" applyAlignment="1">
      <alignment vertical="center"/>
    </xf>
    <xf numFmtId="164" fontId="0" fillId="0" borderId="2" xfId="1" applyNumberFormat="1" applyFont="1" applyBorder="1" applyAlignment="1">
      <alignment vertical="center"/>
    </xf>
    <xf numFmtId="164" fontId="0" fillId="0" borderId="7" xfId="1" applyNumberFormat="1" applyFont="1" applyBorder="1" applyAlignment="1">
      <alignment vertical="center"/>
    </xf>
    <xf numFmtId="164" fontId="2" fillId="2" borderId="1" xfId="1" applyNumberFormat="1" applyFont="1" applyFill="1" applyBorder="1" applyAlignment="1">
      <alignment vertical="center"/>
    </xf>
    <xf numFmtId="164" fontId="2" fillId="2" borderId="1" xfId="1" applyNumberFormat="1" applyFont="1" applyFill="1" applyBorder="1" applyAlignment="1">
      <alignment horizontal="right" vertical="center"/>
    </xf>
    <xf numFmtId="165" fontId="0" fillId="0" borderId="3" xfId="1" applyNumberFormat="1" applyFont="1" applyBorder="1" applyAlignment="1">
      <alignment vertical="center"/>
    </xf>
    <xf numFmtId="165" fontId="0" fillId="0" borderId="2" xfId="1" applyNumberFormat="1" applyFont="1" applyBorder="1" applyAlignment="1">
      <alignment vertical="center"/>
    </xf>
    <xf numFmtId="165" fontId="0" fillId="0" borderId="7" xfId="1" applyNumberFormat="1" applyFont="1" applyBorder="1" applyAlignment="1">
      <alignment vertical="center"/>
    </xf>
    <xf numFmtId="165" fontId="2" fillId="2" borderId="1" xfId="1" applyNumberFormat="1" applyFont="1" applyFill="1" applyBorder="1" applyAlignment="1">
      <alignment vertical="center"/>
    </xf>
    <xf numFmtId="164" fontId="2" fillId="0" borderId="3" xfId="1" applyNumberFormat="1" applyFont="1" applyBorder="1" applyAlignment="1">
      <alignment vertical="center"/>
    </xf>
    <xf numFmtId="165" fontId="2" fillId="0" borderId="3" xfId="1" applyNumberFormat="1" applyFont="1" applyBorder="1" applyAlignment="1">
      <alignment vertical="center"/>
    </xf>
    <xf numFmtId="165" fontId="2" fillId="0" borderId="8" xfId="1" applyNumberFormat="1" applyFont="1" applyBorder="1" applyAlignment="1">
      <alignment vertical="center"/>
    </xf>
    <xf numFmtId="0" fontId="4" fillId="0" borderId="0" xfId="0" applyFont="1"/>
    <xf numFmtId="0" fontId="5" fillId="0" borderId="0" xfId="0" applyFont="1"/>
    <xf numFmtId="0" fontId="2" fillId="2" borderId="9" xfId="0" applyFont="1" applyFill="1" applyBorder="1" applyAlignment="1">
      <alignment vertical="center"/>
    </xf>
    <xf numFmtId="0" fontId="2" fillId="0" borderId="10" xfId="0" applyFont="1" applyBorder="1" applyAlignment="1">
      <alignment horizontal="center" vertical="center"/>
    </xf>
    <xf numFmtId="0" fontId="0" fillId="2" borderId="9" xfId="0" applyFill="1" applyBorder="1"/>
    <xf numFmtId="0" fontId="2" fillId="2" borderId="1" xfId="0" applyFont="1" applyFill="1" applyBorder="1" applyAlignment="1">
      <alignment horizontal="center"/>
    </xf>
    <xf numFmtId="0" fontId="6" fillId="2" borderId="1" xfId="0" applyFont="1" applyFill="1" applyBorder="1" applyAlignment="1">
      <alignment horizontal="center"/>
    </xf>
    <xf numFmtId="0" fontId="2" fillId="2" borderId="8" xfId="0" applyFont="1" applyFill="1" applyBorder="1" applyAlignment="1">
      <alignment horizontal="center" vertical="center"/>
    </xf>
    <xf numFmtId="0" fontId="0" fillId="2" borderId="8" xfId="0" applyFill="1" applyBorder="1"/>
    <xf numFmtId="165" fontId="0" fillId="2" borderId="8" xfId="1" applyNumberFormat="1" applyFont="1" applyFill="1" applyBorder="1"/>
    <xf numFmtId="165" fontId="0" fillId="0" borderId="10" xfId="1" applyNumberFormat="1" applyFont="1" applyFill="1" applyBorder="1"/>
    <xf numFmtId="0" fontId="0" fillId="0" borderId="2" xfId="0" applyBorder="1" applyAlignment="1">
      <alignment horizontal="left" indent="1"/>
    </xf>
    <xf numFmtId="165" fontId="0" fillId="0" borderId="2" xfId="1" applyNumberFormat="1" applyFont="1" applyBorder="1"/>
    <xf numFmtId="0" fontId="2" fillId="2" borderId="1" xfId="0" applyFont="1" applyFill="1" applyBorder="1" applyAlignment="1">
      <alignment horizontal="right"/>
    </xf>
    <xf numFmtId="165" fontId="2" fillId="2" borderId="1" xfId="1" applyNumberFormat="1" applyFont="1" applyFill="1" applyBorder="1"/>
    <xf numFmtId="165" fontId="6" fillId="2" borderId="1" xfId="1" applyNumberFormat="1" applyFont="1" applyFill="1" applyBorder="1"/>
    <xf numFmtId="165" fontId="2" fillId="2" borderId="11" xfId="1" applyNumberFormat="1" applyFont="1" applyFill="1" applyBorder="1"/>
    <xf numFmtId="165" fontId="2" fillId="0" borderId="10" xfId="1" applyNumberFormat="1" applyFont="1" applyFill="1" applyBorder="1"/>
    <xf numFmtId="0" fontId="0" fillId="2" borderId="11" xfId="0" applyFill="1" applyBorder="1"/>
    <xf numFmtId="0" fontId="2" fillId="0" borderId="0" xfId="0" applyFont="1" applyAlignment="1">
      <alignment horizontal="right"/>
    </xf>
    <xf numFmtId="165" fontId="2" fillId="0" borderId="0" xfId="1" applyNumberFormat="1" applyFont="1" applyFill="1" applyBorder="1"/>
    <xf numFmtId="0" fontId="2" fillId="0" borderId="0" xfId="0" applyFont="1" applyAlignment="1">
      <alignment horizontal="center" vertical="center"/>
    </xf>
    <xf numFmtId="0" fontId="2" fillId="2" borderId="18" xfId="0" applyFont="1" applyFill="1" applyBorder="1" applyAlignment="1">
      <alignment horizontal="center"/>
    </xf>
    <xf numFmtId="0" fontId="6" fillId="2" borderId="19" xfId="0" applyFont="1" applyFill="1" applyBorder="1" applyAlignment="1">
      <alignment horizontal="center"/>
    </xf>
    <xf numFmtId="0" fontId="2" fillId="0" borderId="0" xfId="0" applyFont="1" applyAlignment="1">
      <alignment horizontal="center"/>
    </xf>
    <xf numFmtId="166" fontId="0" fillId="0" borderId="21" xfId="1" applyNumberFormat="1" applyFont="1" applyBorder="1"/>
    <xf numFmtId="166" fontId="0" fillId="0" borderId="3" xfId="1" applyNumberFormat="1" applyFont="1" applyBorder="1"/>
    <xf numFmtId="166" fontId="2" fillId="0" borderId="22" xfId="1" applyNumberFormat="1" applyFont="1" applyBorder="1" applyAlignment="1">
      <alignment horizontal="center" vertical="center"/>
    </xf>
    <xf numFmtId="166" fontId="0" fillId="0" borderId="0" xfId="1" applyNumberFormat="1" applyFont="1" applyFill="1" applyBorder="1" applyAlignment="1">
      <alignment horizontal="center" vertical="center"/>
    </xf>
    <xf numFmtId="166" fontId="0" fillId="0" borderId="23" xfId="1" applyNumberFormat="1" applyFont="1" applyBorder="1"/>
    <xf numFmtId="166" fontId="0" fillId="0" borderId="24" xfId="1" applyNumberFormat="1" applyFont="1" applyBorder="1"/>
    <xf numFmtId="166" fontId="0" fillId="0" borderId="2" xfId="1" applyNumberFormat="1" applyFont="1" applyBorder="1"/>
    <xf numFmtId="166" fontId="2" fillId="0" borderId="25" xfId="1" applyNumberFormat="1" applyFont="1" applyBorder="1"/>
    <xf numFmtId="165" fontId="2" fillId="2" borderId="4" xfId="1" applyNumberFormat="1" applyFont="1" applyFill="1" applyBorder="1"/>
    <xf numFmtId="166" fontId="2" fillId="2" borderId="18" xfId="1" applyNumberFormat="1" applyFont="1" applyFill="1" applyBorder="1"/>
    <xf numFmtId="166" fontId="2" fillId="2" borderId="1" xfId="1" applyNumberFormat="1" applyFont="1" applyFill="1" applyBorder="1"/>
    <xf numFmtId="166" fontId="2" fillId="2" borderId="4" xfId="1" applyNumberFormat="1" applyFont="1" applyFill="1" applyBorder="1"/>
    <xf numFmtId="166" fontId="2" fillId="2" borderId="19" xfId="1" applyNumberFormat="1" applyFont="1" applyFill="1" applyBorder="1"/>
    <xf numFmtId="0" fontId="2" fillId="0" borderId="3" xfId="0" applyFont="1" applyBorder="1" applyAlignment="1">
      <alignment horizontal="left" indent="1"/>
    </xf>
    <xf numFmtId="166" fontId="0" fillId="0" borderId="21" xfId="1" applyNumberFormat="1" applyFont="1" applyFill="1" applyBorder="1"/>
    <xf numFmtId="166" fontId="0" fillId="0" borderId="3" xfId="1" applyNumberFormat="1" applyFont="1" applyFill="1" applyBorder="1"/>
    <xf numFmtId="166" fontId="2" fillId="0" borderId="22" xfId="1" applyNumberFormat="1" applyFont="1" applyFill="1" applyBorder="1" applyAlignment="1">
      <alignment horizontal="center" vertical="center"/>
    </xf>
    <xf numFmtId="166" fontId="2" fillId="0" borderId="23" xfId="1" applyNumberFormat="1" applyFont="1" applyFill="1" applyBorder="1"/>
    <xf numFmtId="166" fontId="0" fillId="0" borderId="23" xfId="1" applyNumberFormat="1" applyFont="1" applyFill="1" applyBorder="1"/>
    <xf numFmtId="0" fontId="0" fillId="0" borderId="2" xfId="0" applyBorder="1" applyAlignment="1">
      <alignment horizontal="left" indent="2"/>
    </xf>
    <xf numFmtId="166" fontId="2" fillId="2" borderId="28" xfId="1" applyNumberFormat="1" applyFont="1" applyFill="1" applyBorder="1"/>
    <xf numFmtId="166" fontId="2" fillId="2" borderId="29" xfId="1" applyNumberFormat="1" applyFont="1" applyFill="1" applyBorder="1"/>
    <xf numFmtId="166" fontId="2" fillId="2" borderId="30" xfId="1" applyNumberFormat="1" applyFont="1" applyFill="1" applyBorder="1"/>
    <xf numFmtId="166" fontId="2" fillId="2" borderId="31" xfId="1" applyNumberFormat="1" applyFont="1" applyFill="1" applyBorder="1"/>
    <xf numFmtId="166" fontId="2" fillId="2" borderId="32" xfId="1" applyNumberFormat="1" applyFont="1" applyFill="1" applyBorder="1"/>
    <xf numFmtId="166" fontId="2" fillId="2" borderId="33" xfId="1" applyNumberFormat="1" applyFont="1" applyFill="1" applyBorder="1"/>
    <xf numFmtId="166" fontId="6" fillId="2" borderId="34" xfId="1" applyNumberFormat="1" applyFont="1" applyFill="1" applyBorder="1"/>
    <xf numFmtId="166" fontId="6" fillId="2" borderId="32" xfId="1" applyNumberFormat="1" applyFont="1" applyFill="1" applyBorder="1"/>
    <xf numFmtId="166" fontId="6" fillId="2" borderId="33" xfId="1" applyNumberFormat="1" applyFont="1" applyFill="1" applyBorder="1"/>
    <xf numFmtId="164" fontId="0" fillId="0" borderId="0" xfId="0" applyNumberFormat="1" applyAlignment="1">
      <alignment vertical="center"/>
    </xf>
    <xf numFmtId="43" fontId="0" fillId="0" borderId="0" xfId="0" applyNumberFormat="1" applyAlignment="1">
      <alignment vertical="center"/>
    </xf>
    <xf numFmtId="164" fontId="0" fillId="2" borderId="3" xfId="1" applyNumberFormat="1" applyFont="1" applyFill="1" applyBorder="1" applyAlignment="1">
      <alignment vertical="center"/>
    </xf>
    <xf numFmtId="165" fontId="0" fillId="0" borderId="0" xfId="1" applyNumberFormat="1" applyFont="1" applyAlignment="1">
      <alignment vertical="center"/>
    </xf>
    <xf numFmtId="0" fontId="6" fillId="2" borderId="1" xfId="0" applyFont="1" applyFill="1" applyBorder="1" applyAlignment="1">
      <alignment horizontal="center"/>
    </xf>
    <xf numFmtId="0" fontId="8" fillId="0" borderId="0" xfId="0" applyFont="1"/>
    <xf numFmtId="166" fontId="0" fillId="0" borderId="26" xfId="1" applyNumberFormat="1" applyFont="1" applyBorder="1" applyAlignment="1">
      <alignment vertical="center"/>
    </xf>
    <xf numFmtId="166" fontId="0" fillId="0" borderId="20" xfId="1" applyNumberFormat="1" applyFont="1" applyBorder="1" applyAlignment="1">
      <alignment vertical="center"/>
    </xf>
    <xf numFmtId="0" fontId="0" fillId="0" borderId="35" xfId="0" applyBorder="1" applyAlignment="1">
      <alignment horizontal="left" wrapText="1"/>
    </xf>
    <xf numFmtId="44" fontId="0" fillId="0" borderId="0" xfId="0" applyNumberFormat="1"/>
    <xf numFmtId="165" fontId="0" fillId="0" borderId="0" xfId="1" applyNumberFormat="1" applyFont="1"/>
    <xf numFmtId="0" fontId="2" fillId="2" borderId="1" xfId="0" applyFont="1" applyFill="1" applyBorder="1"/>
    <xf numFmtId="164" fontId="2" fillId="0" borderId="0" xfId="1" applyNumberFormat="1" applyFont="1" applyFill="1" applyBorder="1"/>
    <xf numFmtId="167" fontId="2" fillId="0" borderId="39" xfId="0" applyNumberFormat="1" applyFont="1" applyBorder="1"/>
    <xf numFmtId="0" fontId="2" fillId="0" borderId="40" xfId="0" applyFont="1" applyBorder="1" applyAlignment="1">
      <alignment horizontal="right"/>
    </xf>
    <xf numFmtId="0" fontId="0" fillId="0" borderId="40" xfId="0" applyBorder="1"/>
    <xf numFmtId="0" fontId="0" fillId="0" borderId="41" xfId="0" applyBorder="1"/>
    <xf numFmtId="167" fontId="2" fillId="3" borderId="42" xfId="0" applyNumberFormat="1" applyFont="1" applyFill="1" applyBorder="1"/>
    <xf numFmtId="0" fontId="0" fillId="0" borderId="43" xfId="0" applyBorder="1"/>
    <xf numFmtId="167" fontId="0" fillId="0" borderId="44" xfId="0" applyNumberFormat="1" applyBorder="1"/>
    <xf numFmtId="0" fontId="2" fillId="0" borderId="44" xfId="0" applyFont="1" applyBorder="1"/>
    <xf numFmtId="167" fontId="0" fillId="0" borderId="31" xfId="0" applyNumberFormat="1" applyBorder="1"/>
    <xf numFmtId="167" fontId="0" fillId="0" borderId="28" xfId="0" applyNumberFormat="1" applyBorder="1"/>
    <xf numFmtId="167" fontId="2" fillId="3" borderId="45" xfId="0" applyNumberFormat="1" applyFont="1" applyFill="1" applyBorder="1"/>
    <xf numFmtId="167" fontId="0" fillId="0" borderId="3" xfId="0" applyNumberFormat="1" applyBorder="1"/>
    <xf numFmtId="0" fontId="2" fillId="0" borderId="3" xfId="0" applyFont="1" applyBorder="1"/>
    <xf numFmtId="0" fontId="2" fillId="0" borderId="19" xfId="0" applyFont="1" applyBorder="1" applyAlignment="1">
      <alignment horizontal="center"/>
    </xf>
    <xf numFmtId="0" fontId="2" fillId="0" borderId="18" xfId="0" applyFont="1" applyBorder="1" applyAlignment="1">
      <alignment horizontal="center"/>
    </xf>
    <xf numFmtId="167" fontId="2" fillId="0" borderId="46" xfId="0" applyNumberFormat="1" applyFont="1" applyBorder="1"/>
    <xf numFmtId="0" fontId="2" fillId="0" borderId="35" xfId="0" applyFont="1" applyBorder="1" applyAlignment="1">
      <alignment horizontal="right"/>
    </xf>
    <xf numFmtId="0" fontId="0" fillId="0" borderId="35" xfId="0" applyBorder="1"/>
    <xf numFmtId="0" fontId="0" fillId="0" borderId="47" xfId="0" applyBorder="1"/>
    <xf numFmtId="0" fontId="9" fillId="0" borderId="0" xfId="0" applyFont="1"/>
    <xf numFmtId="167" fontId="2" fillId="0" borderId="0" xfId="0" applyNumberFormat="1" applyFont="1"/>
    <xf numFmtId="0" fontId="0" fillId="0" borderId="31" xfId="0" applyBorder="1" applyAlignment="1">
      <alignment horizontal="left" wrapText="1"/>
    </xf>
    <xf numFmtId="0" fontId="0" fillId="0" borderId="29" xfId="0" applyBorder="1" applyAlignment="1">
      <alignment horizontal="left" wrapText="1"/>
    </xf>
    <xf numFmtId="0" fontId="0" fillId="0" borderId="28" xfId="0" applyBorder="1" applyAlignment="1">
      <alignment horizontal="center"/>
    </xf>
    <xf numFmtId="0" fontId="0" fillId="0" borderId="29" xfId="0" applyBorder="1"/>
    <xf numFmtId="0" fontId="0" fillId="0" borderId="28" xfId="0" applyBorder="1"/>
    <xf numFmtId="0" fontId="0" fillId="0" borderId="19" xfId="0" applyBorder="1" applyAlignment="1">
      <alignment horizontal="left" wrapText="1"/>
    </xf>
    <xf numFmtId="0" fontId="0" fillId="0" borderId="1" xfId="0" applyBorder="1" applyAlignment="1">
      <alignment horizontal="left" wrapText="1"/>
    </xf>
    <xf numFmtId="0" fontId="0" fillId="0" borderId="18" xfId="0" applyBorder="1" applyAlignment="1">
      <alignment horizontal="center"/>
    </xf>
    <xf numFmtId="0" fontId="0" fillId="0" borderId="1" xfId="0" applyBorder="1"/>
    <xf numFmtId="0" fontId="0" fillId="0" borderId="18" xfId="0" applyBorder="1"/>
    <xf numFmtId="167" fontId="0" fillId="0" borderId="0" xfId="0" applyNumberFormat="1"/>
    <xf numFmtId="167" fontId="0" fillId="0" borderId="1" xfId="5" applyNumberFormat="1" applyFont="1" applyBorder="1"/>
    <xf numFmtId="0" fontId="0" fillId="0" borderId="48" xfId="0" applyBorder="1" applyAlignment="1">
      <alignment horizontal="left" wrapText="1"/>
    </xf>
    <xf numFmtId="0" fontId="0" fillId="0" borderId="11" xfId="0" applyBorder="1" applyAlignment="1">
      <alignment horizontal="left" wrapText="1"/>
    </xf>
    <xf numFmtId="0" fontId="0" fillId="0" borderId="49" xfId="0" applyBorder="1" applyAlignment="1">
      <alignment horizontal="center"/>
    </xf>
    <xf numFmtId="167" fontId="0" fillId="0" borderId="11" xfId="5" applyNumberFormat="1" applyFont="1" applyBorder="1"/>
    <xf numFmtId="0" fontId="0" fillId="0" borderId="11" xfId="0" applyBorder="1"/>
    <xf numFmtId="0" fontId="0" fillId="0" borderId="49" xfId="0" applyBorder="1"/>
    <xf numFmtId="167" fontId="0" fillId="0" borderId="16" xfId="5" applyNumberFormat="1" applyFont="1" applyBorder="1"/>
    <xf numFmtId="0" fontId="0" fillId="0" borderId="16" xfId="0" applyBorder="1"/>
    <xf numFmtId="0" fontId="0" fillId="0" borderId="15" xfId="0" applyBorder="1"/>
    <xf numFmtId="0" fontId="2" fillId="0" borderId="32" xfId="0" applyFont="1" applyBorder="1" applyAlignment="1">
      <alignment horizontal="center" wrapText="1"/>
    </xf>
    <xf numFmtId="0" fontId="2" fillId="0" borderId="33" xfId="0" applyFont="1" applyBorder="1" applyAlignment="1">
      <alignment horizontal="center" wrapText="1"/>
    </xf>
    <xf numFmtId="167" fontId="2" fillId="4" borderId="0" xfId="0" applyNumberFormat="1" applyFont="1" applyFill="1"/>
    <xf numFmtId="0" fontId="2" fillId="0" borderId="0" xfId="0" applyFont="1"/>
    <xf numFmtId="167" fontId="0" fillId="4" borderId="31" xfId="5" applyNumberFormat="1" applyFont="1" applyFill="1" applyBorder="1"/>
    <xf numFmtId="167" fontId="0" fillId="4" borderId="19" xfId="5" applyNumberFormat="1" applyFont="1" applyFill="1" applyBorder="1"/>
    <xf numFmtId="167" fontId="0" fillId="4" borderId="1" xfId="5" applyNumberFormat="1" applyFont="1" applyFill="1" applyBorder="1"/>
    <xf numFmtId="0" fontId="0" fillId="0" borderId="42" xfId="0" applyBorder="1" applyAlignment="1">
      <alignment horizontal="left" wrapText="1"/>
    </xf>
    <xf numFmtId="0" fontId="0" fillId="0" borderId="54" xfId="0" applyBorder="1" applyAlignment="1">
      <alignment horizontal="left" wrapText="1"/>
    </xf>
    <xf numFmtId="167" fontId="0" fillId="4" borderId="48" xfId="5" applyNumberFormat="1" applyFont="1" applyFill="1" applyBorder="1"/>
    <xf numFmtId="167" fontId="0" fillId="0" borderId="49" xfId="0" applyNumberFormat="1" applyBorder="1"/>
    <xf numFmtId="167" fontId="0" fillId="4" borderId="17" xfId="5" applyNumberFormat="1" applyFont="1" applyFill="1" applyBorder="1"/>
    <xf numFmtId="0" fontId="2" fillId="0" borderId="55" xfId="0" applyFont="1" applyBorder="1" applyAlignment="1">
      <alignment horizontal="center" wrapText="1"/>
    </xf>
    <xf numFmtId="0" fontId="2" fillId="4" borderId="36" xfId="0" applyFont="1" applyFill="1" applyBorder="1" applyAlignment="1">
      <alignment horizontal="center" wrapText="1"/>
    </xf>
    <xf numFmtId="0" fontId="11" fillId="0" borderId="33" xfId="0" applyFont="1" applyBorder="1" applyAlignment="1">
      <alignment horizontal="center" wrapText="1"/>
    </xf>
    <xf numFmtId="167" fontId="2" fillId="0" borderId="0" xfId="5" applyNumberFormat="1" applyFont="1"/>
    <xf numFmtId="167" fontId="0" fillId="0" borderId="31" xfId="5" applyNumberFormat="1" applyFont="1" applyBorder="1"/>
    <xf numFmtId="0" fontId="0" fillId="0" borderId="31" xfId="0" applyBorder="1"/>
    <xf numFmtId="167" fontId="0" fillId="0" borderId="19" xfId="5" applyNumberFormat="1" applyFont="1" applyBorder="1"/>
    <xf numFmtId="0" fontId="0" fillId="0" borderId="19" xfId="0" applyBorder="1"/>
    <xf numFmtId="167" fontId="0" fillId="0" borderId="48" xfId="5" applyNumberFormat="1" applyFont="1" applyBorder="1"/>
    <xf numFmtId="167" fontId="0" fillId="0" borderId="17" xfId="5" applyNumberFormat="1" applyFont="1" applyBorder="1"/>
    <xf numFmtId="0" fontId="2" fillId="0" borderId="34" xfId="0" applyFont="1" applyBorder="1" applyAlignment="1">
      <alignment horizontal="center" wrapText="1"/>
    </xf>
    <xf numFmtId="0" fontId="2" fillId="0" borderId="11" xfId="0" applyFont="1" applyBorder="1" applyAlignment="1">
      <alignment horizontal="center" wrapText="1"/>
    </xf>
    <xf numFmtId="167" fontId="2" fillId="0" borderId="0" xfId="5" applyNumberFormat="1" applyFont="1" applyFill="1" applyBorder="1"/>
    <xf numFmtId="167" fontId="0" fillId="0" borderId="0" xfId="5" applyNumberFormat="1" applyFont="1" applyFill="1" applyBorder="1" applyAlignment="1">
      <alignment horizontal="right"/>
    </xf>
    <xf numFmtId="0" fontId="0" fillId="0" borderId="0" xfId="0" applyAlignment="1">
      <alignment horizontal="right"/>
    </xf>
    <xf numFmtId="167" fontId="2" fillId="4" borderId="0" xfId="5" applyNumberFormat="1" applyFont="1" applyFill="1"/>
    <xf numFmtId="167" fontId="0" fillId="3" borderId="56" xfId="5" applyNumberFormat="1" applyFont="1" applyFill="1" applyBorder="1"/>
    <xf numFmtId="167" fontId="0" fillId="5" borderId="56" xfId="5" applyNumberFormat="1" applyFont="1" applyFill="1" applyBorder="1"/>
    <xf numFmtId="167" fontId="0" fillId="0" borderId="29" xfId="5" applyNumberFormat="1" applyFont="1" applyBorder="1"/>
    <xf numFmtId="167" fontId="0" fillId="4" borderId="29" xfId="5" applyNumberFormat="1" applyFont="1" applyFill="1" applyBorder="1"/>
    <xf numFmtId="0" fontId="0" fillId="0" borderId="0" xfId="0" applyAlignment="1">
      <alignment horizontal="center" wrapText="1"/>
    </xf>
    <xf numFmtId="0" fontId="2" fillId="3" borderId="57" xfId="0" quotePrefix="1" applyFont="1" applyFill="1" applyBorder="1" applyAlignment="1">
      <alignment horizontal="center" wrapText="1"/>
    </xf>
    <xf numFmtId="0" fontId="2" fillId="5" borderId="57" xfId="0" applyFont="1" applyFill="1" applyBorder="1" applyAlignment="1">
      <alignment horizontal="center" wrapText="1"/>
    </xf>
    <xf numFmtId="0" fontId="2" fillId="4" borderId="11" xfId="0" applyFont="1" applyFill="1" applyBorder="1" applyAlignment="1">
      <alignment horizontal="center" wrapText="1"/>
    </xf>
    <xf numFmtId="0" fontId="2" fillId="0" borderId="49" xfId="0" applyFont="1" applyBorder="1" applyAlignment="1">
      <alignment horizontal="center" wrapText="1"/>
    </xf>
    <xf numFmtId="0" fontId="13" fillId="0" borderId="0" xfId="0" applyFont="1" applyAlignment="1">
      <alignment horizontal="right"/>
    </xf>
    <xf numFmtId="0" fontId="0" fillId="0" borderId="39" xfId="0" applyBorder="1"/>
    <xf numFmtId="0" fontId="0" fillId="0" borderId="45" xfId="0" applyBorder="1"/>
    <xf numFmtId="0" fontId="6" fillId="2" borderId="0" xfId="0" applyFont="1" applyFill="1"/>
    <xf numFmtId="0" fontId="6" fillId="2" borderId="1" xfId="0" applyFont="1" applyFill="1" applyBorder="1"/>
    <xf numFmtId="165" fontId="6" fillId="0" borderId="0" xfId="7" applyNumberFormat="1" applyFont="1" applyFill="1" applyBorder="1"/>
    <xf numFmtId="0" fontId="6" fillId="0" borderId="0" xfId="0" applyFont="1" applyAlignment="1">
      <alignment horizontal="right"/>
    </xf>
    <xf numFmtId="167" fontId="6" fillId="6" borderId="39" xfId="0" applyNumberFormat="1" applyFont="1" applyFill="1" applyBorder="1"/>
    <xf numFmtId="0" fontId="6" fillId="0" borderId="40" xfId="0" applyFont="1" applyBorder="1" applyAlignment="1">
      <alignment horizontal="right"/>
    </xf>
    <xf numFmtId="0" fontId="8" fillId="0" borderId="40" xfId="0" applyFont="1" applyBorder="1"/>
    <xf numFmtId="0" fontId="8" fillId="0" borderId="41" xfId="0" applyFont="1" applyBorder="1"/>
    <xf numFmtId="167" fontId="6" fillId="0" borderId="42" xfId="0" applyNumberFormat="1" applyFont="1" applyBorder="1"/>
    <xf numFmtId="0" fontId="8" fillId="0" borderId="43" xfId="0" applyFont="1" applyBorder="1"/>
    <xf numFmtId="167" fontId="8" fillId="0" borderId="44" xfId="0" applyNumberFormat="1" applyFont="1" applyBorder="1"/>
    <xf numFmtId="0" fontId="6" fillId="0" borderId="44" xfId="0" applyFont="1" applyBorder="1"/>
    <xf numFmtId="167" fontId="8" fillId="0" borderId="31" xfId="0" applyNumberFormat="1" applyFont="1" applyBorder="1"/>
    <xf numFmtId="167" fontId="8" fillId="0" borderId="28" xfId="0" applyNumberFormat="1" applyFont="1" applyBorder="1"/>
    <xf numFmtId="167" fontId="6" fillId="0" borderId="45" xfId="0" applyNumberFormat="1" applyFont="1" applyBorder="1"/>
    <xf numFmtId="167" fontId="8" fillId="0" borderId="3" xfId="0" applyNumberFormat="1" applyFont="1" applyBorder="1"/>
    <xf numFmtId="0" fontId="6" fillId="0" borderId="3" xfId="0" applyFont="1" applyBorder="1"/>
    <xf numFmtId="0" fontId="6" fillId="0" borderId="19" xfId="0" applyFont="1" applyBorder="1" applyAlignment="1">
      <alignment horizontal="center"/>
    </xf>
    <xf numFmtId="0" fontId="6" fillId="0" borderId="18" xfId="0" applyFont="1" applyBorder="1" applyAlignment="1">
      <alignment horizontal="center"/>
    </xf>
    <xf numFmtId="167" fontId="6" fillId="0" borderId="46" xfId="0" applyNumberFormat="1" applyFont="1" applyBorder="1"/>
    <xf numFmtId="0" fontId="6" fillId="0" borderId="35" xfId="0" applyFont="1" applyBorder="1" applyAlignment="1">
      <alignment horizontal="right"/>
    </xf>
    <xf numFmtId="0" fontId="8" fillId="0" borderId="35" xfId="0" applyFont="1" applyBorder="1"/>
    <xf numFmtId="0" fontId="8" fillId="0" borderId="47" xfId="0" applyFont="1" applyBorder="1"/>
    <xf numFmtId="0" fontId="14" fillId="0" borderId="46" xfId="0" applyFont="1" applyBorder="1"/>
    <xf numFmtId="0" fontId="14" fillId="0" borderId="35" xfId="0" applyFont="1" applyBorder="1"/>
    <xf numFmtId="0" fontId="14" fillId="0" borderId="47" xfId="0" applyFont="1" applyBorder="1"/>
    <xf numFmtId="0" fontId="0" fillId="0" borderId="0" xfId="0" applyAlignment="1">
      <alignment horizontal="left" wrapText="1"/>
    </xf>
    <xf numFmtId="0" fontId="2" fillId="2" borderId="0" xfId="0" applyFont="1" applyFill="1"/>
    <xf numFmtId="9" fontId="0" fillId="0" borderId="0" xfId="6" applyFont="1"/>
    <xf numFmtId="165" fontId="2" fillId="0" borderId="0" xfId="7" applyNumberFormat="1" applyFont="1" applyFill="1" applyBorder="1"/>
    <xf numFmtId="167" fontId="0" fillId="7" borderId="60" xfId="0" applyNumberFormat="1" applyFill="1" applyBorder="1"/>
    <xf numFmtId="167" fontId="2" fillId="6" borderId="39" xfId="0" applyNumberFormat="1" applyFont="1" applyFill="1" applyBorder="1"/>
    <xf numFmtId="167" fontId="15" fillId="0" borderId="0" xfId="0" applyNumberFormat="1" applyFont="1"/>
    <xf numFmtId="167" fontId="0" fillId="7" borderId="61" xfId="0" applyNumberFormat="1" applyFill="1" applyBorder="1"/>
    <xf numFmtId="167" fontId="0" fillId="7" borderId="62" xfId="0" applyNumberFormat="1" applyFill="1" applyBorder="1"/>
    <xf numFmtId="0" fontId="0" fillId="7" borderId="63" xfId="0" applyFill="1" applyBorder="1" applyAlignment="1">
      <alignment horizontal="center" wrapText="1"/>
    </xf>
    <xf numFmtId="167" fontId="2" fillId="0" borderId="42" xfId="0" applyNumberFormat="1" applyFont="1" applyBorder="1"/>
    <xf numFmtId="167" fontId="2" fillId="0" borderId="45" xfId="0" applyNumberFormat="1" applyFont="1" applyBorder="1"/>
    <xf numFmtId="167" fontId="0" fillId="0" borderId="1" xfId="8" applyNumberFormat="1" applyFont="1" applyBorder="1"/>
    <xf numFmtId="167" fontId="0" fillId="0" borderId="16" xfId="8" applyNumberFormat="1" applyFont="1" applyBorder="1"/>
    <xf numFmtId="167" fontId="0" fillId="4" borderId="31" xfId="8" applyNumberFormat="1" applyFont="1" applyFill="1" applyBorder="1"/>
    <xf numFmtId="167" fontId="0" fillId="4" borderId="19" xfId="8" applyNumberFormat="1" applyFont="1" applyFill="1" applyBorder="1"/>
    <xf numFmtId="167" fontId="0" fillId="7" borderId="1" xfId="8" applyNumberFormat="1" applyFont="1" applyFill="1" applyBorder="1"/>
    <xf numFmtId="0" fontId="0" fillId="7" borderId="1" xfId="0" quotePrefix="1" applyFill="1" applyBorder="1"/>
    <xf numFmtId="0" fontId="0" fillId="7" borderId="1" xfId="0" applyFill="1" applyBorder="1"/>
    <xf numFmtId="0" fontId="0" fillId="7" borderId="18" xfId="0" applyFill="1" applyBorder="1"/>
    <xf numFmtId="0" fontId="0" fillId="7" borderId="45" xfId="0" applyFill="1" applyBorder="1" applyAlignment="1">
      <alignment wrapText="1"/>
    </xf>
    <xf numFmtId="0" fontId="0" fillId="7" borderId="42" xfId="0" applyFill="1" applyBorder="1" applyAlignment="1">
      <alignment wrapText="1"/>
    </xf>
    <xf numFmtId="0" fontId="16" fillId="0" borderId="0" xfId="0" applyFont="1" applyAlignment="1">
      <alignment horizontal="center" wrapText="1"/>
    </xf>
    <xf numFmtId="0" fontId="16" fillId="0" borderId="14" xfId="0" applyFont="1" applyBorder="1" applyAlignment="1">
      <alignment wrapText="1"/>
    </xf>
    <xf numFmtId="0" fontId="16" fillId="0" borderId="12" xfId="0" applyFont="1" applyBorder="1" applyAlignment="1">
      <alignment wrapText="1"/>
    </xf>
    <xf numFmtId="167" fontId="0" fillId="4" borderId="17" xfId="8" applyNumberFormat="1" applyFont="1" applyFill="1" applyBorder="1"/>
    <xf numFmtId="43" fontId="0" fillId="7" borderId="0" xfId="7" applyFont="1" applyFill="1"/>
    <xf numFmtId="0" fontId="0" fillId="7" borderId="16" xfId="0" quotePrefix="1" applyFill="1" applyBorder="1"/>
    <xf numFmtId="0" fontId="0" fillId="7" borderId="16" xfId="0" applyFill="1" applyBorder="1"/>
    <xf numFmtId="0" fontId="0" fillId="7" borderId="15" xfId="0" applyFill="1" applyBorder="1"/>
    <xf numFmtId="0" fontId="2" fillId="0" borderId="0" xfId="0" applyFont="1" applyAlignment="1">
      <alignment horizontal="center" wrapText="1"/>
    </xf>
    <xf numFmtId="167" fontId="2" fillId="0" borderId="0" xfId="8" applyNumberFormat="1" applyFont="1"/>
    <xf numFmtId="167" fontId="0" fillId="0" borderId="31" xfId="8" applyNumberFormat="1" applyFont="1" applyBorder="1"/>
    <xf numFmtId="167" fontId="0" fillId="0" borderId="19" xfId="8" applyNumberFormat="1" applyFont="1" applyBorder="1"/>
    <xf numFmtId="0" fontId="17" fillId="0" borderId="0" xfId="0" applyFont="1" applyAlignment="1">
      <alignment horizontal="center" wrapText="1"/>
    </xf>
    <xf numFmtId="167" fontId="0" fillId="0" borderId="48" xfId="8" applyNumberFormat="1" applyFont="1" applyBorder="1"/>
    <xf numFmtId="167" fontId="0" fillId="0" borderId="17" xfId="8" applyNumberFormat="1" applyFont="1" applyBorder="1"/>
    <xf numFmtId="0" fontId="0" fillId="8" borderId="39" xfId="0" applyFill="1" applyBorder="1"/>
    <xf numFmtId="0" fontId="0" fillId="8" borderId="40" xfId="0" applyFill="1" applyBorder="1"/>
    <xf numFmtId="0" fontId="0" fillId="8" borderId="41" xfId="0" applyFill="1" applyBorder="1"/>
    <xf numFmtId="167" fontId="2" fillId="0" borderId="0" xfId="8" applyNumberFormat="1" applyFont="1" applyFill="1" applyBorder="1"/>
    <xf numFmtId="0" fontId="0" fillId="9" borderId="45" xfId="0" applyFill="1" applyBorder="1"/>
    <xf numFmtId="0" fontId="0" fillId="9" borderId="0" xfId="0" applyFill="1"/>
    <xf numFmtId="0" fontId="0" fillId="9" borderId="43" xfId="0" applyFill="1" applyBorder="1"/>
    <xf numFmtId="167" fontId="0" fillId="0" borderId="0" xfId="8" applyNumberFormat="1" applyFont="1" applyFill="1" applyBorder="1" applyAlignment="1">
      <alignment horizontal="right"/>
    </xf>
    <xf numFmtId="0" fontId="0" fillId="10" borderId="45" xfId="0" applyFill="1" applyBorder="1"/>
    <xf numFmtId="0" fontId="0" fillId="10" borderId="0" xfId="0" applyFill="1"/>
    <xf numFmtId="0" fontId="0" fillId="10" borderId="43" xfId="0" applyFill="1" applyBorder="1"/>
    <xf numFmtId="0" fontId="0" fillId="11" borderId="45" xfId="0" applyFill="1" applyBorder="1"/>
    <xf numFmtId="0" fontId="0" fillId="11" borderId="0" xfId="0" applyFill="1"/>
    <xf numFmtId="0" fontId="0" fillId="11" borderId="43" xfId="0" applyFill="1" applyBorder="1"/>
    <xf numFmtId="44" fontId="0" fillId="12" borderId="0" xfId="0" applyNumberFormat="1" applyFill="1"/>
    <xf numFmtId="167" fontId="2" fillId="4" borderId="0" xfId="8" applyNumberFormat="1" applyFont="1" applyFill="1"/>
    <xf numFmtId="0" fontId="2" fillId="0" borderId="46" xfId="0" applyFont="1" applyBorder="1" applyAlignment="1">
      <alignment horizontal="center"/>
    </xf>
    <xf numFmtId="167" fontId="0" fillId="5" borderId="56" xfId="8" applyNumberFormat="1" applyFont="1" applyFill="1" applyBorder="1"/>
    <xf numFmtId="0" fontId="0" fillId="0" borderId="29" xfId="0" applyBorder="1" applyAlignment="1">
      <alignment horizontal="center"/>
    </xf>
    <xf numFmtId="167" fontId="0" fillId="0" borderId="29" xfId="8" applyNumberFormat="1" applyFont="1" applyBorder="1"/>
    <xf numFmtId="167" fontId="0" fillId="4" borderId="29" xfId="8" applyNumberFormat="1" applyFont="1" applyFill="1" applyBorder="1"/>
    <xf numFmtId="0" fontId="0" fillId="8" borderId="28" xfId="0" applyFill="1" applyBorder="1" applyAlignment="1">
      <alignment horizontal="center"/>
    </xf>
    <xf numFmtId="0" fontId="0" fillId="0" borderId="9" xfId="0" applyBorder="1" applyAlignment="1">
      <alignment horizontal="center"/>
    </xf>
    <xf numFmtId="167" fontId="0" fillId="0" borderId="9" xfId="8" applyNumberFormat="1" applyFont="1" applyBorder="1"/>
    <xf numFmtId="167" fontId="0" fillId="4" borderId="9" xfId="8" applyNumberFormat="1" applyFont="1" applyFill="1" applyBorder="1"/>
    <xf numFmtId="0" fontId="0" fillId="8" borderId="65" xfId="0" applyFill="1" applyBorder="1" applyAlignment="1">
      <alignment horizontal="center"/>
    </xf>
    <xf numFmtId="0" fontId="0" fillId="8" borderId="18" xfId="0" applyFill="1" applyBorder="1" applyAlignment="1">
      <alignment horizontal="center"/>
    </xf>
    <xf numFmtId="0" fontId="0" fillId="0" borderId="1" xfId="0" applyBorder="1" applyAlignment="1">
      <alignment horizontal="center"/>
    </xf>
    <xf numFmtId="167" fontId="0" fillId="4" borderId="1" xfId="8" applyNumberFormat="1" applyFont="1" applyFill="1" applyBorder="1"/>
    <xf numFmtId="0" fontId="0" fillId="7" borderId="0" xfId="0" applyFill="1"/>
    <xf numFmtId="0" fontId="0" fillId="7" borderId="0" xfId="0" applyFill="1" applyAlignment="1">
      <alignment horizontal="center" wrapText="1"/>
    </xf>
    <xf numFmtId="0" fontId="0" fillId="9" borderId="18" xfId="0" applyFill="1" applyBorder="1" applyAlignment="1">
      <alignment horizontal="center"/>
    </xf>
    <xf numFmtId="0" fontId="0" fillId="10" borderId="18" xfId="0" applyFill="1" applyBorder="1" applyAlignment="1">
      <alignment horizontal="center"/>
    </xf>
    <xf numFmtId="0" fontId="0" fillId="11" borderId="18" xfId="0" applyFill="1" applyBorder="1" applyAlignment="1">
      <alignment horizontal="center"/>
    </xf>
    <xf numFmtId="44" fontId="0" fillId="0" borderId="0" xfId="0" applyNumberFormat="1" applyAlignment="1">
      <alignment horizontal="center" wrapText="1"/>
    </xf>
    <xf numFmtId="167" fontId="0" fillId="7" borderId="0" xfId="0" applyNumberFormat="1" applyFill="1" applyAlignment="1">
      <alignment horizontal="center" wrapText="1"/>
    </xf>
    <xf numFmtId="167" fontId="0" fillId="0" borderId="0" xfId="8" applyNumberFormat="1" applyFont="1"/>
    <xf numFmtId="0" fontId="2" fillId="5" borderId="14" xfId="0" applyFont="1" applyFill="1" applyBorder="1" applyAlignment="1">
      <alignment horizontal="center" wrapText="1"/>
    </xf>
    <xf numFmtId="0" fontId="2" fillId="0" borderId="48" xfId="0" applyFont="1" applyFill="1" applyBorder="1" applyAlignment="1">
      <alignment horizontal="center" wrapText="1"/>
    </xf>
    <xf numFmtId="167" fontId="0" fillId="0" borderId="19" xfId="8" applyNumberFormat="1" applyFont="1" applyFill="1" applyBorder="1"/>
    <xf numFmtId="167" fontId="0" fillId="0" borderId="64" xfId="8" applyNumberFormat="1" applyFont="1" applyFill="1" applyBorder="1"/>
    <xf numFmtId="167" fontId="0" fillId="0" borderId="31" xfId="8" applyNumberFormat="1" applyFont="1" applyFill="1" applyBorder="1"/>
    <xf numFmtId="167" fontId="2" fillId="0" borderId="0" xfId="8" applyNumberFormat="1" applyFont="1" applyFill="1"/>
    <xf numFmtId="0" fontId="2" fillId="0" borderId="27" xfId="0" applyFont="1" applyFill="1" applyBorder="1" applyAlignment="1">
      <alignment horizontal="center" wrapText="1"/>
    </xf>
    <xf numFmtId="0" fontId="2" fillId="0" borderId="36" xfId="0" applyFont="1" applyFill="1" applyBorder="1" applyAlignment="1">
      <alignment horizontal="center" wrapText="1"/>
    </xf>
    <xf numFmtId="167" fontId="0" fillId="0" borderId="17" xfId="8" applyNumberFormat="1" applyFont="1" applyFill="1" applyBorder="1"/>
    <xf numFmtId="167" fontId="2" fillId="0" borderId="0" xfId="0" applyNumberFormat="1" applyFont="1" applyFill="1"/>
    <xf numFmtId="0" fontId="2" fillId="0" borderId="33" xfId="0" applyFont="1" applyFill="1" applyBorder="1" applyAlignment="1">
      <alignment horizont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0" fillId="7" borderId="0" xfId="0" applyFill="1" applyAlignment="1">
      <alignment horizontal="center" wrapText="1"/>
    </xf>
    <xf numFmtId="0" fontId="12" fillId="0" borderId="0" xfId="0" applyFont="1" applyAlignment="1">
      <alignment horizontal="left"/>
    </xf>
    <xf numFmtId="0" fontId="6" fillId="0" borderId="32" xfId="0" applyFont="1" applyBorder="1" applyAlignment="1">
      <alignment horizontal="center"/>
    </xf>
    <xf numFmtId="0" fontId="6" fillId="0" borderId="33" xfId="0" applyFont="1" applyBorder="1" applyAlignment="1">
      <alignment horizontal="center"/>
    </xf>
    <xf numFmtId="0" fontId="2" fillId="0" borderId="33" xfId="0" applyFont="1" applyBorder="1" applyAlignment="1">
      <alignment horizontal="center"/>
    </xf>
    <xf numFmtId="0" fontId="2" fillId="0" borderId="34" xfId="0" applyFont="1" applyBorder="1" applyAlignment="1">
      <alignment horizontal="center"/>
    </xf>
    <xf numFmtId="0" fontId="2" fillId="0" borderId="47" xfId="0" applyFont="1" applyBorder="1" applyAlignment="1">
      <alignment horizontal="center"/>
    </xf>
    <xf numFmtId="0" fontId="2" fillId="0" borderId="35" xfId="0" applyFont="1" applyBorder="1" applyAlignment="1">
      <alignment horizontal="center"/>
    </xf>
    <xf numFmtId="0" fontId="2" fillId="0" borderId="38" xfId="0" applyFont="1" applyBorder="1" applyAlignment="1">
      <alignment horizontal="center"/>
    </xf>
    <xf numFmtId="0" fontId="2" fillId="0" borderId="37" xfId="0" applyFont="1" applyBorder="1" applyAlignment="1">
      <alignment horizontal="center"/>
    </xf>
    <xf numFmtId="0" fontId="2" fillId="0" borderId="36" xfId="0" applyFont="1" applyBorder="1" applyAlignment="1">
      <alignment horizontal="center"/>
    </xf>
    <xf numFmtId="0" fontId="2" fillId="0" borderId="46" xfId="0" applyFont="1" applyBorder="1" applyAlignment="1">
      <alignment horizontal="center"/>
    </xf>
    <xf numFmtId="0" fontId="17" fillId="0" borderId="41" xfId="0" applyFont="1" applyBorder="1" applyAlignment="1">
      <alignment horizontal="center" wrapText="1"/>
    </xf>
    <xf numFmtId="0" fontId="17" fillId="0" borderId="40" xfId="0" applyFont="1" applyBorder="1" applyAlignment="1">
      <alignment horizontal="center" wrapText="1"/>
    </xf>
    <xf numFmtId="0" fontId="17" fillId="0" borderId="39" xfId="0" applyFont="1" applyBorder="1" applyAlignment="1">
      <alignment horizontal="center" wrapText="1"/>
    </xf>
    <xf numFmtId="0" fontId="0" fillId="0" borderId="47" xfId="0" applyBorder="1" applyAlignment="1">
      <alignment horizontal="center" wrapText="1"/>
    </xf>
    <xf numFmtId="0" fontId="0" fillId="0" borderId="35" xfId="0" applyBorder="1" applyAlignment="1">
      <alignment horizontal="center" wrapText="1"/>
    </xf>
    <xf numFmtId="0" fontId="0" fillId="0" borderId="46" xfId="0" applyBorder="1" applyAlignment="1">
      <alignment horizontal="center" wrapText="1"/>
    </xf>
    <xf numFmtId="0" fontId="0" fillId="0" borderId="41" xfId="0" applyBorder="1" applyAlignment="1">
      <alignment horizontal="center" wrapText="1"/>
    </xf>
    <xf numFmtId="0" fontId="0" fillId="0" borderId="40" xfId="0" applyBorder="1" applyAlignment="1">
      <alignment horizontal="center" wrapText="1"/>
    </xf>
    <xf numFmtId="0" fontId="0" fillId="0" borderId="39" xfId="0" applyBorder="1" applyAlignment="1">
      <alignment horizontal="center" wrapText="1"/>
    </xf>
    <xf numFmtId="0" fontId="2" fillId="0" borderId="38" xfId="0" applyFont="1" applyBorder="1" applyAlignment="1">
      <alignment horizontal="center" wrapText="1"/>
    </xf>
    <xf numFmtId="0" fontId="2" fillId="0" borderId="36" xfId="0" applyFont="1" applyBorder="1" applyAlignment="1">
      <alignment horizontal="center" wrapText="1"/>
    </xf>
    <xf numFmtId="0" fontId="0" fillId="0" borderId="53" xfId="0" applyBorder="1" applyAlignment="1">
      <alignment horizontal="left" wrapText="1"/>
    </xf>
    <xf numFmtId="0" fontId="0" fillId="0" borderId="52" xfId="0" applyBorder="1" applyAlignment="1">
      <alignment horizontal="left" wrapText="1"/>
    </xf>
    <xf numFmtId="0" fontId="0" fillId="0" borderId="51" xfId="0" applyBorder="1" applyAlignment="1">
      <alignment horizontal="left" wrapText="1"/>
    </xf>
    <xf numFmtId="0" fontId="0" fillId="0" borderId="50" xfId="0" applyBorder="1" applyAlignment="1">
      <alignment horizontal="left" wrapText="1"/>
    </xf>
    <xf numFmtId="0" fontId="0" fillId="0" borderId="18" xfId="0" applyBorder="1" applyAlignment="1">
      <alignment horizontal="center"/>
    </xf>
    <xf numFmtId="0" fontId="0" fillId="0" borderId="28" xfId="0" applyBorder="1" applyAlignment="1">
      <alignment horizontal="center"/>
    </xf>
    <xf numFmtId="167" fontId="0" fillId="0" borderId="1" xfId="8" applyNumberFormat="1" applyFont="1" applyFill="1" applyBorder="1" applyAlignment="1">
      <alignment horizontal="center"/>
    </xf>
    <xf numFmtId="167" fontId="0" fillId="0" borderId="29" xfId="8" applyNumberFormat="1" applyFont="1" applyFill="1" applyBorder="1" applyAlignment="1">
      <alignment horizontal="center"/>
    </xf>
    <xf numFmtId="0" fontId="0" fillId="0" borderId="1" xfId="0" applyBorder="1" applyAlignment="1">
      <alignment horizontal="left" wrapText="1"/>
    </xf>
    <xf numFmtId="0" fontId="0" fillId="0" borderId="19" xfId="0" applyBorder="1" applyAlignment="1">
      <alignment horizontal="left" wrapText="1"/>
    </xf>
    <xf numFmtId="0" fontId="0" fillId="0" borderId="29" xfId="0" applyBorder="1" applyAlignment="1">
      <alignment horizontal="left" wrapText="1"/>
    </xf>
    <xf numFmtId="0" fontId="0" fillId="0" borderId="31" xfId="0" applyBorder="1" applyAlignment="1">
      <alignment horizontal="left" wrapText="1"/>
    </xf>
    <xf numFmtId="0" fontId="2" fillId="2" borderId="1" xfId="0" applyFont="1" applyFill="1" applyBorder="1" applyAlignment="1">
      <alignment horizont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33" xfId="0" applyFont="1" applyBorder="1" applyAlignment="1">
      <alignment horizontal="center" wrapText="1"/>
    </xf>
    <xf numFmtId="0" fontId="2" fillId="0" borderId="34" xfId="0" applyFont="1" applyBorder="1" applyAlignment="1">
      <alignment horizontal="center" wrapText="1"/>
    </xf>
    <xf numFmtId="0" fontId="0" fillId="0" borderId="49" xfId="0" applyBorder="1" applyAlignment="1">
      <alignment horizontal="center"/>
    </xf>
    <xf numFmtId="167" fontId="0" fillId="0" borderId="11" xfId="8" applyNumberFormat="1" applyFont="1" applyFill="1" applyBorder="1" applyAlignment="1">
      <alignment horizontal="center"/>
    </xf>
    <xf numFmtId="0" fontId="0" fillId="0" borderId="11" xfId="0" applyBorder="1" applyAlignment="1">
      <alignment horizontal="left" wrapText="1"/>
    </xf>
    <xf numFmtId="0" fontId="0" fillId="0" borderId="48" xfId="0" applyBorder="1" applyAlignment="1">
      <alignment horizontal="left" wrapText="1"/>
    </xf>
    <xf numFmtId="0" fontId="0" fillId="0" borderId="38" xfId="0" applyBorder="1" applyAlignment="1">
      <alignment horizontal="left" wrapText="1"/>
    </xf>
    <xf numFmtId="0" fontId="0" fillId="0" borderId="37" xfId="0" applyBorder="1" applyAlignment="1">
      <alignment horizontal="left" wrapText="1"/>
    </xf>
    <xf numFmtId="0" fontId="0" fillId="0" borderId="36" xfId="0" applyBorder="1" applyAlignment="1">
      <alignment horizontal="left" wrapText="1"/>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0" borderId="15" xfId="0" applyFont="1" applyBorder="1" applyAlignment="1">
      <alignment horizontal="center"/>
    </xf>
    <xf numFmtId="0" fontId="6" fillId="0" borderId="17" xfId="0" applyFont="1" applyBorder="1" applyAlignment="1">
      <alignment horizontal="center"/>
    </xf>
    <xf numFmtId="0" fontId="2" fillId="0" borderId="15" xfId="0" applyFont="1" applyBorder="1" applyAlignment="1">
      <alignment horizontal="center"/>
    </xf>
    <xf numFmtId="0" fontId="2" fillId="0" borderId="17" xfId="0" applyFont="1" applyBorder="1" applyAlignment="1">
      <alignment horizontal="center"/>
    </xf>
    <xf numFmtId="0" fontId="0" fillId="7" borderId="59" xfId="0" applyFill="1" applyBorder="1" applyAlignment="1">
      <alignment horizontal="center" wrapText="1"/>
    </xf>
    <xf numFmtId="0" fontId="0" fillId="7" borderId="58" xfId="0" applyFill="1" applyBorder="1" applyAlignment="1">
      <alignment horizontal="center" wrapText="1"/>
    </xf>
    <xf numFmtId="0" fontId="2" fillId="0" borderId="37" xfId="0" applyFont="1" applyBorder="1" applyAlignment="1">
      <alignment horizontal="center" wrapText="1"/>
    </xf>
    <xf numFmtId="0" fontId="0" fillId="0" borderId="12" xfId="0" applyBorder="1" applyAlignment="1">
      <alignment horizontal="left" wrapText="1"/>
    </xf>
    <xf numFmtId="0" fontId="0" fillId="0" borderId="14" xfId="0" applyBorder="1" applyAlignment="1">
      <alignment horizontal="left" wrapText="1"/>
    </xf>
    <xf numFmtId="0" fontId="6" fillId="2" borderId="1" xfId="0" applyFont="1" applyFill="1" applyBorder="1" applyAlignment="1">
      <alignment horizontal="center"/>
    </xf>
    <xf numFmtId="0" fontId="2" fillId="2" borderId="4"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xf>
    <xf numFmtId="0" fontId="6" fillId="2" borderId="16" xfId="0" applyFont="1" applyFill="1" applyBorder="1" applyAlignment="1">
      <alignment horizontal="center"/>
    </xf>
    <xf numFmtId="0" fontId="6" fillId="2" borderId="17" xfId="0" applyFont="1" applyFill="1" applyBorder="1" applyAlignment="1">
      <alignment horizontal="center"/>
    </xf>
    <xf numFmtId="0" fontId="6" fillId="2" borderId="15" xfId="0" applyFont="1" applyFill="1" applyBorder="1" applyAlignment="1">
      <alignment horizontal="center" wrapText="1"/>
    </xf>
    <xf numFmtId="0" fontId="6" fillId="2" borderId="18" xfId="0" applyFont="1" applyFill="1" applyBorder="1" applyAlignment="1">
      <alignment horizontal="center" wrapText="1"/>
    </xf>
    <xf numFmtId="0" fontId="6" fillId="2" borderId="16" xfId="0" applyFont="1" applyFill="1" applyBorder="1" applyAlignment="1">
      <alignment horizontal="center" wrapText="1"/>
    </xf>
    <xf numFmtId="0" fontId="6" fillId="2" borderId="1" xfId="0" applyFont="1" applyFill="1" applyBorder="1" applyAlignment="1">
      <alignment horizontal="center" wrapText="1"/>
    </xf>
    <xf numFmtId="0" fontId="6" fillId="2" borderId="17" xfId="0" applyFont="1" applyFill="1" applyBorder="1" applyAlignment="1">
      <alignment horizontal="center" wrapText="1"/>
    </xf>
    <xf numFmtId="0" fontId="6" fillId="2" borderId="19" xfId="0" applyFont="1" applyFill="1" applyBorder="1" applyAlignment="1">
      <alignment horizont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167" fontId="0" fillId="0" borderId="19" xfId="5" applyNumberFormat="1" applyFont="1" applyFill="1" applyBorder="1"/>
    <xf numFmtId="167" fontId="0" fillId="0" borderId="31" xfId="5" applyNumberFormat="1" applyFont="1" applyFill="1" applyBorder="1"/>
    <xf numFmtId="167" fontId="2" fillId="0" borderId="0" xfId="5" applyNumberFormat="1" applyFont="1" applyFill="1"/>
    <xf numFmtId="167" fontId="0" fillId="0" borderId="17" xfId="5" applyNumberFormat="1" applyFont="1" applyFill="1" applyBorder="1"/>
    <xf numFmtId="167" fontId="0" fillId="0" borderId="48" xfId="5" applyNumberFormat="1" applyFont="1" applyFill="1" applyBorder="1"/>
    <xf numFmtId="167" fontId="0" fillId="0" borderId="11" xfId="5" applyNumberFormat="1" applyFont="1" applyFill="1" applyBorder="1" applyAlignment="1">
      <alignment horizontal="center"/>
    </xf>
    <xf numFmtId="167" fontId="0" fillId="0" borderId="1" xfId="5" applyNumberFormat="1" applyFont="1" applyFill="1" applyBorder="1" applyAlignment="1">
      <alignment horizontal="center"/>
    </xf>
    <xf numFmtId="167" fontId="0" fillId="0" borderId="29" xfId="5" applyNumberFormat="1" applyFont="1" applyFill="1" applyBorder="1" applyAlignment="1">
      <alignment horizontal="center"/>
    </xf>
  </cellXfs>
  <cellStyles count="9">
    <cellStyle name="Comma" xfId="1" builtinId="3"/>
    <cellStyle name="Comma 2" xfId="7" xr:uid="{D8F7D56F-71E4-48D5-8A9D-3AAA3334814D}"/>
    <cellStyle name="Currency" xfId="5" builtinId="4"/>
    <cellStyle name="Currency 2" xfId="8" xr:uid="{E382B3F0-7D64-4798-8C9E-BCD74E0BE530}"/>
    <cellStyle name="Normal" xfId="0" builtinId="0"/>
    <cellStyle name="Normal 2" xfId="2" xr:uid="{1ED59F6A-F053-4B36-B812-BFC8173E8239}"/>
    <cellStyle name="Percent" xfId="6" builtinId="5"/>
    <cellStyle name="Percent 2" xfId="3" xr:uid="{E6E204D1-8E76-4F69-A6D6-6B801377BCA7}"/>
    <cellStyle name="Percent 3" xfId="4" xr:uid="{FF4CC12C-28E0-450A-9B57-BE63B8EF4B1D}"/>
  </cellStyles>
  <dxfs count="18">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11</xdr:col>
      <xdr:colOff>38099</xdr:colOff>
      <xdr:row>12</xdr:row>
      <xdr:rowOff>95250</xdr:rowOff>
    </xdr:from>
    <xdr:to>
      <xdr:col>11</xdr:col>
      <xdr:colOff>219075</xdr:colOff>
      <xdr:row>23</xdr:row>
      <xdr:rowOff>104775</xdr:rowOff>
    </xdr:to>
    <xdr:sp macro="" textlink="">
      <xdr:nvSpPr>
        <xdr:cNvPr id="2" name="Right Brace 1">
          <a:extLst>
            <a:ext uri="{FF2B5EF4-FFF2-40B4-BE49-F238E27FC236}">
              <a16:creationId xmlns:a16="http://schemas.microsoft.com/office/drawing/2014/main" id="{02A091BA-30BE-42D4-86F0-FC9FA7415312}"/>
            </a:ext>
          </a:extLst>
        </xdr:cNvPr>
        <xdr:cNvSpPr/>
      </xdr:nvSpPr>
      <xdr:spPr>
        <a:xfrm>
          <a:off x="6743699" y="2266950"/>
          <a:ext cx="177801" cy="1997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228600</xdr:colOff>
      <xdr:row>18</xdr:row>
      <xdr:rowOff>9525</xdr:rowOff>
    </xdr:from>
    <xdr:to>
      <xdr:col>13</xdr:col>
      <xdr:colOff>257176</xdr:colOff>
      <xdr:row>20</xdr:row>
      <xdr:rowOff>66675</xdr:rowOff>
    </xdr:to>
    <xdr:sp macro="" textlink="">
      <xdr:nvSpPr>
        <xdr:cNvPr id="3" name="TextBox 2">
          <a:extLst>
            <a:ext uri="{FF2B5EF4-FFF2-40B4-BE49-F238E27FC236}">
              <a16:creationId xmlns:a16="http://schemas.microsoft.com/office/drawing/2014/main" id="{879C7820-5716-463F-AD2F-C81AAEEC1F63}"/>
            </a:ext>
          </a:extLst>
        </xdr:cNvPr>
        <xdr:cNvSpPr txBox="1"/>
      </xdr:nvSpPr>
      <xdr:spPr>
        <a:xfrm>
          <a:off x="6934200" y="3263900"/>
          <a:ext cx="1244601"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Group 4 Savings of $1,323,098</a:t>
          </a:r>
        </a:p>
      </xdr:txBody>
    </xdr:sp>
    <xdr:clientData/>
  </xdr:twoCellAnchor>
  <xdr:twoCellAnchor>
    <xdr:from>
      <xdr:col>9</xdr:col>
      <xdr:colOff>400050</xdr:colOff>
      <xdr:row>25</xdr:row>
      <xdr:rowOff>19050</xdr:rowOff>
    </xdr:from>
    <xdr:to>
      <xdr:col>9</xdr:col>
      <xdr:colOff>676275</xdr:colOff>
      <xdr:row>27</xdr:row>
      <xdr:rowOff>0</xdr:rowOff>
    </xdr:to>
    <xdr:sp macro="" textlink="">
      <xdr:nvSpPr>
        <xdr:cNvPr id="4" name="Arrow: Up 3">
          <a:extLst>
            <a:ext uri="{FF2B5EF4-FFF2-40B4-BE49-F238E27FC236}">
              <a16:creationId xmlns:a16="http://schemas.microsoft.com/office/drawing/2014/main" id="{4CB43A4B-54C2-4C8E-B946-75B95EC5BF4E}"/>
            </a:ext>
          </a:extLst>
        </xdr:cNvPr>
        <xdr:cNvSpPr/>
      </xdr:nvSpPr>
      <xdr:spPr>
        <a:xfrm>
          <a:off x="5886450" y="4543425"/>
          <a:ext cx="206375" cy="342900"/>
        </a:xfrm>
        <a:prstGeom prst="upArrow">
          <a:avLst/>
        </a:prstGeom>
        <a:solidFill>
          <a:srgbClr val="C00000"/>
        </a:solid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171450</xdr:colOff>
      <xdr:row>11</xdr:row>
      <xdr:rowOff>0</xdr:rowOff>
    </xdr:from>
    <xdr:to>
      <xdr:col>13</xdr:col>
      <xdr:colOff>257175</xdr:colOff>
      <xdr:row>13</xdr:row>
      <xdr:rowOff>28575</xdr:rowOff>
    </xdr:to>
    <xdr:sp macro="" textlink="">
      <xdr:nvSpPr>
        <xdr:cNvPr id="5" name="TextBox 4">
          <a:extLst>
            <a:ext uri="{FF2B5EF4-FFF2-40B4-BE49-F238E27FC236}">
              <a16:creationId xmlns:a16="http://schemas.microsoft.com/office/drawing/2014/main" id="{A9D81D20-8BFB-4D5E-8668-7EDED75B1139}"/>
            </a:ext>
          </a:extLst>
        </xdr:cNvPr>
        <xdr:cNvSpPr txBox="1"/>
      </xdr:nvSpPr>
      <xdr:spPr>
        <a:xfrm>
          <a:off x="6877050" y="1990725"/>
          <a:ext cx="1301750" cy="38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Group 3 Savings of $25,333</a:t>
          </a:r>
        </a:p>
      </xdr:txBody>
    </xdr:sp>
    <xdr:clientData/>
  </xdr:twoCellAnchor>
  <xdr:twoCellAnchor>
    <xdr:from>
      <xdr:col>11</xdr:col>
      <xdr:colOff>38101</xdr:colOff>
      <xdr:row>11</xdr:row>
      <xdr:rowOff>66675</xdr:rowOff>
    </xdr:from>
    <xdr:to>
      <xdr:col>11</xdr:col>
      <xdr:colOff>85725</xdr:colOff>
      <xdr:row>12</xdr:row>
      <xdr:rowOff>0</xdr:rowOff>
    </xdr:to>
    <xdr:sp macro="" textlink="">
      <xdr:nvSpPr>
        <xdr:cNvPr id="6" name="Right Brace 5">
          <a:extLst>
            <a:ext uri="{FF2B5EF4-FFF2-40B4-BE49-F238E27FC236}">
              <a16:creationId xmlns:a16="http://schemas.microsoft.com/office/drawing/2014/main" id="{A1211E2E-E257-42C2-ABF5-E806669FD042}"/>
            </a:ext>
          </a:extLst>
        </xdr:cNvPr>
        <xdr:cNvSpPr/>
      </xdr:nvSpPr>
      <xdr:spPr>
        <a:xfrm flipV="1">
          <a:off x="6743701" y="2054225"/>
          <a:ext cx="44449" cy="1174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190501</xdr:colOff>
      <xdr:row>9</xdr:row>
      <xdr:rowOff>38100</xdr:rowOff>
    </xdr:from>
    <xdr:to>
      <xdr:col>14</xdr:col>
      <xdr:colOff>400051</xdr:colOff>
      <xdr:row>10</xdr:row>
      <xdr:rowOff>180975</xdr:rowOff>
    </xdr:to>
    <xdr:sp macro="" textlink="">
      <xdr:nvSpPr>
        <xdr:cNvPr id="7" name="TextBox 6">
          <a:extLst>
            <a:ext uri="{FF2B5EF4-FFF2-40B4-BE49-F238E27FC236}">
              <a16:creationId xmlns:a16="http://schemas.microsoft.com/office/drawing/2014/main" id="{1AB0029C-F561-4221-892B-240E7D00BB9F}"/>
            </a:ext>
          </a:extLst>
        </xdr:cNvPr>
        <xdr:cNvSpPr txBox="1"/>
      </xdr:nvSpPr>
      <xdr:spPr>
        <a:xfrm>
          <a:off x="6896101" y="1666875"/>
          <a:ext cx="2038350" cy="320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Group 2 Savings of $84,477; (*see other labor costs</a:t>
          </a:r>
          <a:r>
            <a:rPr lang="en-US" sz="1100" baseline="0"/>
            <a:t> table)</a:t>
          </a:r>
          <a:endParaRPr lang="en-US" sz="1100"/>
        </a:p>
      </xdr:txBody>
    </xdr:sp>
    <xdr:clientData/>
  </xdr:twoCellAnchor>
  <xdr:twoCellAnchor>
    <xdr:from>
      <xdr:col>11</xdr:col>
      <xdr:colOff>19049</xdr:colOff>
      <xdr:row>9</xdr:row>
      <xdr:rowOff>180975</xdr:rowOff>
    </xdr:from>
    <xdr:to>
      <xdr:col>11</xdr:col>
      <xdr:colOff>200024</xdr:colOff>
      <xdr:row>10</xdr:row>
      <xdr:rowOff>180975</xdr:rowOff>
    </xdr:to>
    <xdr:sp macro="" textlink="">
      <xdr:nvSpPr>
        <xdr:cNvPr id="8" name="Right Brace 7">
          <a:extLst>
            <a:ext uri="{FF2B5EF4-FFF2-40B4-BE49-F238E27FC236}">
              <a16:creationId xmlns:a16="http://schemas.microsoft.com/office/drawing/2014/main" id="{77EF8D93-48FF-484D-A3A3-C49B1278F594}"/>
            </a:ext>
          </a:extLst>
        </xdr:cNvPr>
        <xdr:cNvSpPr/>
      </xdr:nvSpPr>
      <xdr:spPr>
        <a:xfrm>
          <a:off x="6724649" y="1806575"/>
          <a:ext cx="184150" cy="1809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857249</xdr:colOff>
      <xdr:row>5</xdr:row>
      <xdr:rowOff>0</xdr:rowOff>
    </xdr:from>
    <xdr:to>
      <xdr:col>11</xdr:col>
      <xdr:colOff>200024</xdr:colOff>
      <xdr:row>9</xdr:row>
      <xdr:rowOff>142875</xdr:rowOff>
    </xdr:to>
    <xdr:sp macro="" textlink="">
      <xdr:nvSpPr>
        <xdr:cNvPr id="9" name="Right Brace 8">
          <a:extLst>
            <a:ext uri="{FF2B5EF4-FFF2-40B4-BE49-F238E27FC236}">
              <a16:creationId xmlns:a16="http://schemas.microsoft.com/office/drawing/2014/main" id="{231A7F05-D96D-4D04-8897-BF8D7226399B}"/>
            </a:ext>
          </a:extLst>
        </xdr:cNvPr>
        <xdr:cNvSpPr/>
      </xdr:nvSpPr>
      <xdr:spPr>
        <a:xfrm>
          <a:off x="6705599" y="904875"/>
          <a:ext cx="203200" cy="8636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171451</xdr:colOff>
      <xdr:row>6</xdr:row>
      <xdr:rowOff>28575</xdr:rowOff>
    </xdr:from>
    <xdr:to>
      <xdr:col>13</xdr:col>
      <xdr:colOff>76201</xdr:colOff>
      <xdr:row>8</xdr:row>
      <xdr:rowOff>57150</xdr:rowOff>
    </xdr:to>
    <xdr:sp macro="" textlink="">
      <xdr:nvSpPr>
        <xdr:cNvPr id="10" name="TextBox 9">
          <a:extLst>
            <a:ext uri="{FF2B5EF4-FFF2-40B4-BE49-F238E27FC236}">
              <a16:creationId xmlns:a16="http://schemas.microsoft.com/office/drawing/2014/main" id="{C7392E68-4707-4B7E-93CB-7BD900D4BCA3}"/>
            </a:ext>
          </a:extLst>
        </xdr:cNvPr>
        <xdr:cNvSpPr txBox="1"/>
      </xdr:nvSpPr>
      <xdr:spPr>
        <a:xfrm>
          <a:off x="6877051" y="1111250"/>
          <a:ext cx="1123950" cy="39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Group 1 Savings of $135,499</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400050</xdr:colOff>
      <xdr:row>21</xdr:row>
      <xdr:rowOff>19050</xdr:rowOff>
    </xdr:from>
    <xdr:to>
      <xdr:col>9</xdr:col>
      <xdr:colOff>676275</xdr:colOff>
      <xdr:row>23</xdr:row>
      <xdr:rowOff>0</xdr:rowOff>
    </xdr:to>
    <xdr:sp macro="" textlink="">
      <xdr:nvSpPr>
        <xdr:cNvPr id="2" name="Arrow: Up 1">
          <a:extLst>
            <a:ext uri="{FF2B5EF4-FFF2-40B4-BE49-F238E27FC236}">
              <a16:creationId xmlns:a16="http://schemas.microsoft.com/office/drawing/2014/main" id="{C8C8C37E-0CF0-4069-9D18-D015FA7079CC}"/>
            </a:ext>
          </a:extLst>
        </xdr:cNvPr>
        <xdr:cNvSpPr/>
      </xdr:nvSpPr>
      <xdr:spPr>
        <a:xfrm>
          <a:off x="5886450" y="21917025"/>
          <a:ext cx="206375" cy="342900"/>
        </a:xfrm>
        <a:prstGeom prst="upArrow">
          <a:avLst/>
        </a:prstGeom>
        <a:solidFill>
          <a:srgbClr val="C00000"/>
        </a:solid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57E2C-FA71-4299-B6D9-44D0799EC56E}">
  <sheetPr>
    <pageSetUpPr autoPageBreaks="0"/>
  </sheetPr>
  <dimension ref="A1:AK25"/>
  <sheetViews>
    <sheetView showGridLines="0" tabSelected="1" zoomScale="90" zoomScaleNormal="90" workbookViewId="0">
      <selection activeCell="A2" sqref="A2"/>
    </sheetView>
  </sheetViews>
  <sheetFormatPr defaultColWidth="9.1796875" defaultRowHeight="14.5" x14ac:dyDescent="0.35"/>
  <cols>
    <col min="1" max="1" width="30.81640625" style="1" customWidth="1"/>
    <col min="2" max="5" width="12.81640625" style="1" customWidth="1"/>
    <col min="6" max="6" width="1.81640625" style="1" customWidth="1"/>
    <col min="7" max="16" width="12.81640625" style="1" customWidth="1"/>
    <col min="17" max="17" width="1.81640625" style="1" customWidth="1"/>
    <col min="18" max="26" width="12.81640625" style="1" customWidth="1"/>
    <col min="27" max="27" width="1.81640625" style="1" customWidth="1"/>
    <col min="28" max="30" width="12.81640625" style="1" customWidth="1"/>
    <col min="31" max="31" width="1.81640625" style="1" customWidth="1"/>
    <col min="32" max="34" width="12.81640625" style="1" customWidth="1"/>
    <col min="35" max="16384" width="9.1796875" style="1"/>
  </cols>
  <sheetData>
    <row r="1" spans="1:37" ht="21" x14ac:dyDescent="0.35">
      <c r="A1" s="4" t="e">
        <f>#REF!</f>
        <v>#REF!</v>
      </c>
    </row>
    <row r="2" spans="1:37" ht="21" x14ac:dyDescent="0.35">
      <c r="A2" s="4" t="s">
        <v>37</v>
      </c>
    </row>
    <row r="3" spans="1:37" x14ac:dyDescent="0.35">
      <c r="A3" s="5" t="s">
        <v>11</v>
      </c>
    </row>
    <row r="4" spans="1:37" x14ac:dyDescent="0.35">
      <c r="AB4" s="284" t="s">
        <v>12</v>
      </c>
      <c r="AC4" s="284"/>
      <c r="AD4" s="284"/>
      <c r="AF4" s="284" t="s">
        <v>12</v>
      </c>
      <c r="AG4" s="284"/>
      <c r="AH4" s="284"/>
    </row>
    <row r="5" spans="1:37" s="2" customFormat="1" x14ac:dyDescent="0.35">
      <c r="A5" s="283" t="s">
        <v>0</v>
      </c>
      <c r="B5" s="284" t="s">
        <v>13</v>
      </c>
      <c r="C5" s="284"/>
      <c r="D5" s="284"/>
      <c r="E5" s="284"/>
      <c r="G5" s="285" t="s">
        <v>14</v>
      </c>
      <c r="H5" s="286"/>
      <c r="I5" s="286"/>
      <c r="J5" s="286"/>
      <c r="K5" s="286"/>
      <c r="L5" s="286"/>
      <c r="M5" s="286"/>
      <c r="N5" s="286"/>
      <c r="O5" s="286"/>
      <c r="P5" s="287"/>
      <c r="R5" s="284" t="s">
        <v>15</v>
      </c>
      <c r="S5" s="284"/>
      <c r="T5" s="284"/>
      <c r="U5" s="284"/>
      <c r="V5" s="284"/>
      <c r="W5" s="284"/>
      <c r="X5" s="284"/>
      <c r="Y5" s="284"/>
      <c r="Z5" s="284"/>
      <c r="AB5" s="285">
        <v>2024</v>
      </c>
      <c r="AC5" s="286"/>
      <c r="AD5" s="287"/>
      <c r="AF5" s="285">
        <v>2025</v>
      </c>
      <c r="AG5" s="286"/>
      <c r="AH5" s="287"/>
    </row>
    <row r="6" spans="1:37" s="3" customFormat="1" ht="55.5" x14ac:dyDescent="0.35">
      <c r="A6" s="283"/>
      <c r="B6" s="8" t="s">
        <v>16</v>
      </c>
      <c r="C6" s="8" t="s">
        <v>2</v>
      </c>
      <c r="D6" s="8" t="s">
        <v>17</v>
      </c>
      <c r="E6" s="8" t="s">
        <v>18</v>
      </c>
      <c r="G6" s="8" t="s">
        <v>1</v>
      </c>
      <c r="H6" s="8" t="s">
        <v>19</v>
      </c>
      <c r="I6" s="8" t="s">
        <v>20</v>
      </c>
      <c r="J6" s="8" t="s">
        <v>21</v>
      </c>
      <c r="K6" s="8" t="s">
        <v>22</v>
      </c>
      <c r="L6" s="8" t="s">
        <v>17</v>
      </c>
      <c r="M6" s="8" t="s">
        <v>23</v>
      </c>
      <c r="N6" s="8" t="s">
        <v>24</v>
      </c>
      <c r="O6" s="8" t="s">
        <v>25</v>
      </c>
      <c r="P6" s="8" t="s">
        <v>26</v>
      </c>
      <c r="R6" s="8" t="s">
        <v>19</v>
      </c>
      <c r="S6" s="8" t="s">
        <v>20</v>
      </c>
      <c r="T6" s="8" t="s">
        <v>21</v>
      </c>
      <c r="U6" s="8" t="s">
        <v>27</v>
      </c>
      <c r="V6" s="8" t="s">
        <v>17</v>
      </c>
      <c r="W6" s="8" t="s">
        <v>23</v>
      </c>
      <c r="X6" s="8" t="s">
        <v>24</v>
      </c>
      <c r="Y6" s="8" t="s">
        <v>25</v>
      </c>
      <c r="Z6" s="8" t="s">
        <v>26</v>
      </c>
      <c r="AB6" s="8" t="s">
        <v>28</v>
      </c>
      <c r="AC6" s="8" t="s">
        <v>29</v>
      </c>
      <c r="AD6" s="8" t="s">
        <v>30</v>
      </c>
      <c r="AF6" s="8" t="s">
        <v>28</v>
      </c>
      <c r="AG6" s="8" t="s">
        <v>29</v>
      </c>
      <c r="AH6" s="8" t="s">
        <v>30</v>
      </c>
    </row>
    <row r="7" spans="1:37" ht="18.649999999999999" customHeight="1" x14ac:dyDescent="0.35">
      <c r="A7" s="7" t="s">
        <v>31</v>
      </c>
      <c r="B7" s="16">
        <v>-19</v>
      </c>
      <c r="C7" s="16">
        <v>6</v>
      </c>
      <c r="D7" s="16">
        <v>3</v>
      </c>
      <c r="E7" s="21">
        <f>SUM(B7:D7)</f>
        <v>-10</v>
      </c>
      <c r="G7" s="11">
        <v>2.2999999999999998</v>
      </c>
      <c r="H7" s="11">
        <v>-1.1677564947199999</v>
      </c>
      <c r="I7" s="11">
        <v>0.22225</v>
      </c>
      <c r="J7" s="11">
        <v>-0.159</v>
      </c>
      <c r="K7" s="11">
        <v>9.1000000000000004E-3</v>
      </c>
      <c r="L7" s="11">
        <f>'KY Additions'!F11</f>
        <v>2.8750000000000005E-2</v>
      </c>
      <c r="M7" s="11">
        <f>SUM(G7:L7)</f>
        <v>1.2333435052800001</v>
      </c>
      <c r="N7" s="11">
        <f>SUM(H7:L7)*0.4</f>
        <v>-0.42666259788799987</v>
      </c>
      <c r="O7" s="11">
        <f>'KY Additions'!F14</f>
        <v>8.0000000000000004E-4</v>
      </c>
      <c r="P7" s="20">
        <f>SUM(M7:O7)</f>
        <v>0.80748090739200029</v>
      </c>
      <c r="R7" s="11">
        <v>-2.3355129894399997</v>
      </c>
      <c r="S7" s="11">
        <v>0.749</v>
      </c>
      <c r="T7" s="11">
        <v>-0.318</v>
      </c>
      <c r="U7" s="11">
        <v>1.8106000000000001E-2</v>
      </c>
      <c r="V7" s="11">
        <f>'KY Additions'!T11</f>
        <v>0.21083333333333334</v>
      </c>
      <c r="W7" s="11">
        <f>SUM(R7:V7)</f>
        <v>-1.6755736561066663</v>
      </c>
      <c r="X7" s="11">
        <f>W7*0.4</f>
        <v>-0.67022946244266657</v>
      </c>
      <c r="Y7" s="11">
        <f>'KY Additions'!T14</f>
        <v>5.8666666666666685E-3</v>
      </c>
      <c r="Z7" s="20">
        <f>SUM(W7:Y7)</f>
        <v>-2.3399364518826666</v>
      </c>
      <c r="AB7" s="13">
        <v>0.35394937440237118</v>
      </c>
      <c r="AC7" s="13">
        <v>0.45353153298962917</v>
      </c>
      <c r="AD7" s="13"/>
      <c r="AF7" s="13">
        <v>-1.0248568615979721</v>
      </c>
      <c r="AG7" s="13">
        <v>-1.3150795902846946</v>
      </c>
      <c r="AH7" s="13"/>
      <c r="AJ7" s="77"/>
      <c r="AK7" s="77"/>
    </row>
    <row r="8" spans="1:37" ht="18.649999999999999" customHeight="1" x14ac:dyDescent="0.35">
      <c r="A8" s="6" t="s">
        <v>3</v>
      </c>
      <c r="B8" s="17">
        <v>-2</v>
      </c>
      <c r="C8" s="17">
        <v>0</v>
      </c>
      <c r="D8" s="16"/>
      <c r="E8" s="21">
        <f t="shared" ref="E8:E17" si="0">C8+B8</f>
        <v>-2</v>
      </c>
      <c r="G8" s="12">
        <v>0.26700000000000002</v>
      </c>
      <c r="H8" s="12">
        <f>-0.267/2</f>
        <v>-0.13350000000000001</v>
      </c>
      <c r="I8" s="12">
        <v>0</v>
      </c>
      <c r="J8" s="12">
        <v>0</v>
      </c>
      <c r="K8" s="12">
        <v>0</v>
      </c>
      <c r="L8" s="11"/>
      <c r="M8" s="11">
        <f t="shared" ref="M8:M17" si="1">SUM(G8:K8)</f>
        <v>0.13350000000000001</v>
      </c>
      <c r="N8" s="11">
        <f t="shared" ref="N8:N16" si="2">SUM(H8:K8)*0.4</f>
        <v>-5.3400000000000003E-2</v>
      </c>
      <c r="O8" s="12"/>
      <c r="P8" s="20">
        <f t="shared" ref="P8:P17" si="3">SUM(M8:O8)</f>
        <v>8.0100000000000005E-2</v>
      </c>
      <c r="R8" s="12">
        <v>-0.26700000000000002</v>
      </c>
      <c r="S8" s="12">
        <v>0</v>
      </c>
      <c r="T8" s="12">
        <v>0</v>
      </c>
      <c r="U8" s="12">
        <v>0</v>
      </c>
      <c r="V8" s="11"/>
      <c r="W8" s="11">
        <f t="shared" ref="W8:W17" si="4">SUM(R8:U8)</f>
        <v>-0.26700000000000002</v>
      </c>
      <c r="X8" s="11">
        <f t="shared" ref="X8:X16" si="5">W8*0.4</f>
        <v>-0.10680000000000001</v>
      </c>
      <c r="Y8" s="12"/>
      <c r="Z8" s="20">
        <f t="shared" ref="Z8:Z17" si="6">SUM(W8:Y8)</f>
        <v>-0.37380000000000002</v>
      </c>
      <c r="AB8" s="13">
        <v>7.5984597236509299E-2</v>
      </c>
      <c r="AC8" s="13">
        <v>4.1154027634906915E-3</v>
      </c>
      <c r="AD8" s="13"/>
      <c r="AF8" s="13">
        <v>-0.35459729891274783</v>
      </c>
      <c r="AG8" s="13">
        <v>-1.9202701087252191E-2</v>
      </c>
      <c r="AH8" s="13"/>
      <c r="AJ8" s="77"/>
      <c r="AK8" s="77"/>
    </row>
    <row r="9" spans="1:37" ht="18.649999999999999" customHeight="1" x14ac:dyDescent="0.35">
      <c r="A9" s="9" t="s">
        <v>4</v>
      </c>
      <c r="B9" s="18"/>
      <c r="C9" s="18"/>
      <c r="D9" s="18"/>
      <c r="E9" s="21">
        <f t="shared" si="0"/>
        <v>0</v>
      </c>
      <c r="G9" s="13"/>
      <c r="H9" s="13"/>
      <c r="I9" s="13"/>
      <c r="J9" s="13"/>
      <c r="K9" s="13"/>
      <c r="L9" s="13"/>
      <c r="M9" s="11">
        <f t="shared" si="1"/>
        <v>0</v>
      </c>
      <c r="N9" s="11">
        <f t="shared" si="2"/>
        <v>0</v>
      </c>
      <c r="O9" s="13"/>
      <c r="P9" s="20">
        <f t="shared" si="3"/>
        <v>0</v>
      </c>
      <c r="R9" s="13"/>
      <c r="S9" s="13"/>
      <c r="T9" s="13"/>
      <c r="U9" s="13"/>
      <c r="V9" s="13"/>
      <c r="W9" s="11">
        <f t="shared" si="4"/>
        <v>0</v>
      </c>
      <c r="X9" s="11">
        <f t="shared" si="5"/>
        <v>0</v>
      </c>
      <c r="Y9" s="13"/>
      <c r="Z9" s="20">
        <f t="shared" si="6"/>
        <v>0</v>
      </c>
      <c r="AB9" s="13"/>
      <c r="AC9" s="13"/>
      <c r="AD9" s="13"/>
      <c r="AF9" s="13">
        <v>0</v>
      </c>
      <c r="AG9" s="13">
        <v>0</v>
      </c>
      <c r="AH9" s="13"/>
      <c r="AJ9" s="77"/>
      <c r="AK9" s="77"/>
    </row>
    <row r="10" spans="1:37" ht="18.649999999999999" customHeight="1" x14ac:dyDescent="0.35">
      <c r="A10" s="9" t="s">
        <v>5</v>
      </c>
      <c r="B10" s="18"/>
      <c r="C10" s="18"/>
      <c r="D10" s="18"/>
      <c r="E10" s="21">
        <f t="shared" si="0"/>
        <v>0</v>
      </c>
      <c r="G10" s="13"/>
      <c r="H10" s="13"/>
      <c r="I10" s="13"/>
      <c r="J10" s="13"/>
      <c r="K10" s="13"/>
      <c r="L10" s="13"/>
      <c r="M10" s="11">
        <f t="shared" si="1"/>
        <v>0</v>
      </c>
      <c r="N10" s="11">
        <f t="shared" si="2"/>
        <v>0</v>
      </c>
      <c r="O10" s="13"/>
      <c r="P10" s="20">
        <f t="shared" si="3"/>
        <v>0</v>
      </c>
      <c r="R10" s="13"/>
      <c r="S10" s="13"/>
      <c r="T10" s="13"/>
      <c r="U10" s="13"/>
      <c r="V10" s="13"/>
      <c r="W10" s="11">
        <f t="shared" si="4"/>
        <v>0</v>
      </c>
      <c r="X10" s="11">
        <f t="shared" si="5"/>
        <v>0</v>
      </c>
      <c r="Y10" s="13"/>
      <c r="Z10" s="20">
        <f t="shared" si="6"/>
        <v>0</v>
      </c>
      <c r="AB10" s="13"/>
      <c r="AC10" s="13"/>
      <c r="AD10" s="13"/>
      <c r="AF10" s="13">
        <v>0</v>
      </c>
      <c r="AG10" s="13">
        <v>0</v>
      </c>
      <c r="AH10" s="13"/>
      <c r="AJ10" s="77"/>
      <c r="AK10" s="77"/>
    </row>
    <row r="11" spans="1:37" ht="18.649999999999999" customHeight="1" x14ac:dyDescent="0.35">
      <c r="A11" s="9" t="s">
        <v>6</v>
      </c>
      <c r="B11" s="18"/>
      <c r="C11" s="18"/>
      <c r="D11" s="18"/>
      <c r="E11" s="21">
        <f t="shared" si="0"/>
        <v>0</v>
      </c>
      <c r="G11" s="13"/>
      <c r="H11" s="13"/>
      <c r="I11" s="13"/>
      <c r="J11" s="13"/>
      <c r="K11" s="13"/>
      <c r="L11" s="13"/>
      <c r="M11" s="11">
        <f t="shared" si="1"/>
        <v>0</v>
      </c>
      <c r="N11" s="11">
        <f t="shared" si="2"/>
        <v>0</v>
      </c>
      <c r="O11" s="13"/>
      <c r="P11" s="20">
        <f t="shared" si="3"/>
        <v>0</v>
      </c>
      <c r="R11" s="13"/>
      <c r="S11" s="13"/>
      <c r="T11" s="13"/>
      <c r="U11" s="13"/>
      <c r="V11" s="13"/>
      <c r="W11" s="11">
        <f t="shared" si="4"/>
        <v>0</v>
      </c>
      <c r="X11" s="11">
        <f t="shared" si="5"/>
        <v>0</v>
      </c>
      <c r="Y11" s="13"/>
      <c r="Z11" s="20">
        <f t="shared" si="6"/>
        <v>0</v>
      </c>
      <c r="AB11" s="13"/>
      <c r="AC11" s="13"/>
      <c r="AD11" s="13"/>
      <c r="AF11" s="13">
        <v>0</v>
      </c>
      <c r="AG11" s="13">
        <v>0</v>
      </c>
      <c r="AH11" s="13"/>
      <c r="AJ11" s="77"/>
      <c r="AK11" s="77"/>
    </row>
    <row r="12" spans="1:37" ht="18.649999999999999" customHeight="1" x14ac:dyDescent="0.35">
      <c r="A12" s="9" t="s">
        <v>7</v>
      </c>
      <c r="B12" s="18">
        <v>0</v>
      </c>
      <c r="C12" s="18"/>
      <c r="D12" s="18"/>
      <c r="E12" s="21">
        <f t="shared" si="0"/>
        <v>0</v>
      </c>
      <c r="G12" s="13"/>
      <c r="H12" s="13"/>
      <c r="I12" s="13"/>
      <c r="J12" s="13"/>
      <c r="K12" s="13"/>
      <c r="L12" s="13"/>
      <c r="M12" s="11">
        <f t="shared" si="1"/>
        <v>0</v>
      </c>
      <c r="N12" s="11">
        <f t="shared" si="2"/>
        <v>0</v>
      </c>
      <c r="O12" s="13"/>
      <c r="P12" s="20">
        <f t="shared" si="3"/>
        <v>0</v>
      </c>
      <c r="R12" s="13"/>
      <c r="S12" s="13"/>
      <c r="T12" s="13"/>
      <c r="U12" s="13"/>
      <c r="V12" s="13"/>
      <c r="W12" s="11">
        <f t="shared" si="4"/>
        <v>0</v>
      </c>
      <c r="X12" s="11">
        <f t="shared" si="5"/>
        <v>0</v>
      </c>
      <c r="Y12" s="13"/>
      <c r="Z12" s="20">
        <f t="shared" si="6"/>
        <v>0</v>
      </c>
      <c r="AB12" s="13"/>
      <c r="AC12" s="13"/>
      <c r="AD12" s="13"/>
      <c r="AF12" s="13">
        <v>0</v>
      </c>
      <c r="AG12" s="13">
        <v>0</v>
      </c>
      <c r="AH12" s="13"/>
      <c r="AJ12" s="77"/>
      <c r="AK12" s="77"/>
    </row>
    <row r="13" spans="1:37" ht="18.649999999999999" customHeight="1" x14ac:dyDescent="0.35">
      <c r="A13" s="9" t="s">
        <v>32</v>
      </c>
      <c r="B13" s="18"/>
      <c r="C13" s="18"/>
      <c r="D13" s="18"/>
      <c r="E13" s="21">
        <f t="shared" si="0"/>
        <v>0</v>
      </c>
      <c r="G13" s="13"/>
      <c r="H13" s="13"/>
      <c r="I13" s="13"/>
      <c r="J13" s="13"/>
      <c r="K13" s="13"/>
      <c r="L13" s="13"/>
      <c r="M13" s="11">
        <f t="shared" si="1"/>
        <v>0</v>
      </c>
      <c r="N13" s="11">
        <f t="shared" si="2"/>
        <v>0</v>
      </c>
      <c r="O13" s="13"/>
      <c r="P13" s="20">
        <f t="shared" si="3"/>
        <v>0</v>
      </c>
      <c r="R13" s="13"/>
      <c r="S13" s="13"/>
      <c r="T13" s="13"/>
      <c r="U13" s="13"/>
      <c r="V13" s="13"/>
      <c r="W13" s="11">
        <f t="shared" si="4"/>
        <v>0</v>
      </c>
      <c r="X13" s="11">
        <f t="shared" si="5"/>
        <v>0</v>
      </c>
      <c r="Y13" s="13"/>
      <c r="Z13" s="20">
        <f t="shared" si="6"/>
        <v>0</v>
      </c>
      <c r="AB13" s="13"/>
      <c r="AC13" s="13"/>
      <c r="AD13" s="13"/>
      <c r="AF13" s="13"/>
      <c r="AG13" s="13"/>
      <c r="AH13" s="13"/>
      <c r="AJ13" s="77"/>
      <c r="AK13" s="77"/>
    </row>
    <row r="14" spans="1:37" ht="18.649999999999999" customHeight="1" x14ac:dyDescent="0.35">
      <c r="A14" s="9" t="s">
        <v>33</v>
      </c>
      <c r="B14" s="18"/>
      <c r="C14" s="18"/>
      <c r="D14" s="18"/>
      <c r="E14" s="21">
        <f t="shared" si="0"/>
        <v>0</v>
      </c>
      <c r="G14" s="13"/>
      <c r="H14" s="13"/>
      <c r="I14" s="13"/>
      <c r="J14" s="13"/>
      <c r="K14" s="13"/>
      <c r="L14" s="13"/>
      <c r="M14" s="11">
        <f t="shared" si="1"/>
        <v>0</v>
      </c>
      <c r="N14" s="11">
        <f t="shared" si="2"/>
        <v>0</v>
      </c>
      <c r="O14" s="13"/>
      <c r="P14" s="20">
        <f t="shared" si="3"/>
        <v>0</v>
      </c>
      <c r="R14" s="13"/>
      <c r="S14" s="13"/>
      <c r="T14" s="13"/>
      <c r="U14" s="13"/>
      <c r="V14" s="13"/>
      <c r="W14" s="11">
        <f t="shared" si="4"/>
        <v>0</v>
      </c>
      <c r="X14" s="11">
        <f t="shared" si="5"/>
        <v>0</v>
      </c>
      <c r="Y14" s="13"/>
      <c r="Z14" s="20">
        <f t="shared" si="6"/>
        <v>0</v>
      </c>
      <c r="AB14" s="13"/>
      <c r="AC14" s="13"/>
      <c r="AD14" s="13"/>
      <c r="AF14" s="13"/>
      <c r="AG14" s="13"/>
      <c r="AH14" s="13"/>
      <c r="AJ14" s="77"/>
      <c r="AK14" s="77"/>
    </row>
    <row r="15" spans="1:37" ht="18.649999999999999" customHeight="1" x14ac:dyDescent="0.35">
      <c r="A15" s="9" t="s">
        <v>8</v>
      </c>
      <c r="B15" s="18"/>
      <c r="C15" s="18"/>
      <c r="D15" s="18"/>
      <c r="E15" s="21">
        <f t="shared" si="0"/>
        <v>0</v>
      </c>
      <c r="G15" s="13"/>
      <c r="H15" s="13"/>
      <c r="I15" s="13"/>
      <c r="J15" s="13"/>
      <c r="K15" s="13"/>
      <c r="L15" s="13"/>
      <c r="M15" s="11">
        <f t="shared" si="1"/>
        <v>0</v>
      </c>
      <c r="N15" s="11">
        <f t="shared" si="2"/>
        <v>0</v>
      </c>
      <c r="O15" s="13"/>
      <c r="P15" s="20">
        <f t="shared" si="3"/>
        <v>0</v>
      </c>
      <c r="R15" s="13"/>
      <c r="S15" s="13"/>
      <c r="T15" s="13"/>
      <c r="U15" s="13"/>
      <c r="V15" s="13"/>
      <c r="W15" s="11">
        <f t="shared" si="4"/>
        <v>0</v>
      </c>
      <c r="X15" s="11">
        <f t="shared" si="5"/>
        <v>0</v>
      </c>
      <c r="Y15" s="13"/>
      <c r="Z15" s="20">
        <f t="shared" si="6"/>
        <v>0</v>
      </c>
      <c r="AB15" s="13"/>
      <c r="AC15" s="13"/>
      <c r="AD15" s="13"/>
      <c r="AF15" s="13"/>
      <c r="AG15" s="13"/>
      <c r="AH15" s="13"/>
      <c r="AJ15" s="77"/>
      <c r="AK15" s="77"/>
    </row>
    <row r="16" spans="1:37" ht="18.649999999999999" customHeight="1" x14ac:dyDescent="0.35">
      <c r="A16" s="9" t="s">
        <v>9</v>
      </c>
      <c r="B16" s="18"/>
      <c r="C16" s="18"/>
      <c r="D16" s="18"/>
      <c r="E16" s="21">
        <f t="shared" si="0"/>
        <v>0</v>
      </c>
      <c r="G16" s="13"/>
      <c r="H16" s="13"/>
      <c r="I16" s="13"/>
      <c r="J16" s="13"/>
      <c r="K16" s="13"/>
      <c r="L16" s="13"/>
      <c r="M16" s="11">
        <f t="shared" si="1"/>
        <v>0</v>
      </c>
      <c r="N16" s="11">
        <f t="shared" si="2"/>
        <v>0</v>
      </c>
      <c r="O16" s="13"/>
      <c r="P16" s="20">
        <f t="shared" si="3"/>
        <v>0</v>
      </c>
      <c r="R16" s="13"/>
      <c r="S16" s="13"/>
      <c r="T16" s="13"/>
      <c r="U16" s="13"/>
      <c r="V16" s="13"/>
      <c r="W16" s="11">
        <f t="shared" si="4"/>
        <v>0</v>
      </c>
      <c r="X16" s="11">
        <f t="shared" si="5"/>
        <v>0</v>
      </c>
      <c r="Y16" s="13"/>
      <c r="Z16" s="20">
        <f t="shared" si="6"/>
        <v>0</v>
      </c>
      <c r="AB16" s="13"/>
      <c r="AC16" s="13"/>
      <c r="AD16" s="13"/>
      <c r="AF16" s="13"/>
      <c r="AG16" s="13"/>
      <c r="AH16" s="13"/>
      <c r="AJ16" s="77"/>
      <c r="AK16" s="77"/>
    </row>
    <row r="17" spans="1:37" ht="18.649999999999999" customHeight="1" x14ac:dyDescent="0.35">
      <c r="A17" s="9" t="s">
        <v>34</v>
      </c>
      <c r="B17" s="18"/>
      <c r="C17" s="18"/>
      <c r="D17" s="18"/>
      <c r="E17" s="22">
        <f t="shared" si="0"/>
        <v>0</v>
      </c>
      <c r="G17" s="13">
        <v>1.2948228857623549</v>
      </c>
      <c r="H17" s="13">
        <v>-0.82764116678931288</v>
      </c>
      <c r="I17" s="13"/>
      <c r="J17" s="13"/>
      <c r="K17" s="13"/>
      <c r="L17" s="13"/>
      <c r="M17" s="11">
        <f t="shared" si="1"/>
        <v>0.46718171897304206</v>
      </c>
      <c r="N17" s="79"/>
      <c r="O17" s="13"/>
      <c r="P17" s="20">
        <f t="shared" si="3"/>
        <v>0.46718171897304206</v>
      </c>
      <c r="R17" s="13">
        <v>-1.3041500121079614</v>
      </c>
      <c r="S17" s="13"/>
      <c r="T17" s="13"/>
      <c r="U17" s="13"/>
      <c r="V17" s="13"/>
      <c r="W17" s="11">
        <f t="shared" si="4"/>
        <v>-1.3041500121079614</v>
      </c>
      <c r="X17" s="79"/>
      <c r="Y17" s="13"/>
      <c r="Z17" s="20">
        <f t="shared" si="6"/>
        <v>-1.3041500121079614</v>
      </c>
      <c r="AB17" s="13">
        <v>0.24434602750586665</v>
      </c>
      <c r="AC17" s="13">
        <v>0.22283569146717541</v>
      </c>
      <c r="AD17" s="13"/>
      <c r="AF17" s="13">
        <v>-0.6820983394444341</v>
      </c>
      <c r="AG17" s="13">
        <v>-0.62205167266352734</v>
      </c>
      <c r="AH17" s="13"/>
      <c r="AJ17" s="77"/>
      <c r="AK17" s="77"/>
    </row>
    <row r="18" spans="1:37" ht="18.649999999999999" customHeight="1" x14ac:dyDescent="0.35">
      <c r="A18" s="10" t="s">
        <v>35</v>
      </c>
      <c r="B18" s="19">
        <f>SUM(B7:B17)</f>
        <v>-21</v>
      </c>
      <c r="C18" s="19">
        <f>SUM(C7:C17)</f>
        <v>6</v>
      </c>
      <c r="D18" s="19">
        <f>SUM(D7:D17)</f>
        <v>3</v>
      </c>
      <c r="E18" s="19">
        <f>SUM(E7:E17)</f>
        <v>-12</v>
      </c>
      <c r="G18" s="15">
        <f>SUM(G7:G17)</f>
        <v>3.8618228857623547</v>
      </c>
      <c r="H18" s="14">
        <f>SUM(H7:H17)</f>
        <v>-2.1288976615093125</v>
      </c>
      <c r="I18" s="14">
        <f>SUM(I7:I17)</f>
        <v>0.22225</v>
      </c>
      <c r="J18" s="14">
        <f t="shared" ref="J18:L18" si="7">SUM(J7:J17)</f>
        <v>-0.159</v>
      </c>
      <c r="K18" s="14">
        <f t="shared" si="7"/>
        <v>9.1000000000000004E-3</v>
      </c>
      <c r="L18" s="14">
        <f t="shared" si="7"/>
        <v>2.8750000000000005E-2</v>
      </c>
      <c r="M18" s="14">
        <f>SUM(M7:M17)</f>
        <v>1.8340252242530422</v>
      </c>
      <c r="N18" s="15">
        <f>SUM(N7:N17)</f>
        <v>-0.48006259788799988</v>
      </c>
      <c r="O18" s="14">
        <f>SUM(O7:O17)</f>
        <v>8.0000000000000004E-4</v>
      </c>
      <c r="P18" s="14">
        <f>SUM(P7:P17)</f>
        <v>1.3547626263650423</v>
      </c>
      <c r="R18" s="14">
        <f>SUM(R7:R17)</f>
        <v>-3.9066630015479609</v>
      </c>
      <c r="S18" s="14">
        <f>SUM(S7:S17)</f>
        <v>0.749</v>
      </c>
      <c r="T18" s="14">
        <f t="shared" ref="T18:U18" si="8">SUM(T7:T17)</f>
        <v>-0.318</v>
      </c>
      <c r="U18" s="14">
        <f t="shared" si="8"/>
        <v>1.8106000000000001E-2</v>
      </c>
      <c r="V18" s="14">
        <f t="shared" ref="V18" si="9">SUM(V7:V17)</f>
        <v>0.21083333333333334</v>
      </c>
      <c r="W18" s="14">
        <f>SUM(W7:W17)</f>
        <v>-3.2467236682146279</v>
      </c>
      <c r="X18" s="15">
        <f>SUM(X7:X17)</f>
        <v>-0.77702946244266657</v>
      </c>
      <c r="Y18" s="14">
        <f>SUM(Y7:Y17)</f>
        <v>5.8666666666666685E-3</v>
      </c>
      <c r="Z18" s="14">
        <f>SUM(Z7:Z17)</f>
        <v>-4.017886463990628</v>
      </c>
      <c r="AB18" s="15">
        <f>SUM(AB7:AB17)</f>
        <v>0.67427999914474712</v>
      </c>
      <c r="AC18" s="15">
        <f>SUM(AC7:AC17)</f>
        <v>0.68048262722029529</v>
      </c>
      <c r="AD18" s="15">
        <f>SUM(AD7:AD17)</f>
        <v>0</v>
      </c>
      <c r="AF18" s="15">
        <f>SUM(AF7:AF17)</f>
        <v>-2.061552499955154</v>
      </c>
      <c r="AG18" s="15">
        <f>SUM(AG7:AG17)</f>
        <v>-1.956333964035474</v>
      </c>
      <c r="AH18" s="15">
        <f>SUM(AH7:AH17)</f>
        <v>0</v>
      </c>
      <c r="AJ18" s="77"/>
      <c r="AK18" s="77"/>
    </row>
    <row r="19" spans="1:37" ht="18.649999999999999" customHeight="1" x14ac:dyDescent="0.35"/>
    <row r="20" spans="1:37" ht="18.649999999999999" customHeight="1" x14ac:dyDescent="0.35">
      <c r="O20" s="78"/>
    </row>
    <row r="21" spans="1:37" ht="18.649999999999999" customHeight="1" x14ac:dyDescent="0.35"/>
    <row r="22" spans="1:37" ht="18.649999999999999" customHeight="1" x14ac:dyDescent="0.35">
      <c r="A22" s="1" t="s">
        <v>36</v>
      </c>
      <c r="B22" s="80">
        <v>123929.1899733333</v>
      </c>
    </row>
    <row r="23" spans="1:37" ht="18.649999999999999" customHeight="1" x14ac:dyDescent="0.35"/>
    <row r="24" spans="1:37" ht="18.649999999999999" customHeight="1" x14ac:dyDescent="0.35"/>
    <row r="25" spans="1:37" ht="18.649999999999999" customHeight="1" x14ac:dyDescent="0.35"/>
  </sheetData>
  <mergeCells count="8">
    <mergeCell ref="A5:A6"/>
    <mergeCell ref="B5:E5"/>
    <mergeCell ref="AB4:AD4"/>
    <mergeCell ref="AF4:AH4"/>
    <mergeCell ref="G5:P5"/>
    <mergeCell ref="R5:Z5"/>
    <mergeCell ref="AB5:AD5"/>
    <mergeCell ref="AF5:AH5"/>
  </mergeCells>
  <conditionalFormatting sqref="B7:E18">
    <cfRule type="cellIs" dxfId="17" priority="9" operator="lessThan">
      <formula>0</formula>
    </cfRule>
    <cfRule type="cellIs" dxfId="16" priority="10" operator="greaterThan">
      <formula>0</formula>
    </cfRule>
  </conditionalFormatting>
  <conditionalFormatting sqref="G7:P18">
    <cfRule type="cellIs" dxfId="15" priority="3" operator="lessThan">
      <formula>0</formula>
    </cfRule>
    <cfRule type="cellIs" dxfId="14" priority="4" operator="greaterThan">
      <formula>0</formula>
    </cfRule>
  </conditionalFormatting>
  <conditionalFormatting sqref="R7:Z18">
    <cfRule type="cellIs" dxfId="13" priority="1" operator="lessThan">
      <formula>0</formula>
    </cfRule>
    <cfRule type="cellIs" dxfId="12" priority="2" operator="greaterThan">
      <formula>0</formula>
    </cfRule>
  </conditionalFormatting>
  <conditionalFormatting sqref="AB7:AD18 AF7:AH18">
    <cfRule type="cellIs" dxfId="11" priority="11" operator="lessThan">
      <formula>0</formula>
    </cfRule>
    <cfRule type="cellIs" dxfId="10" priority="12" operator="greaterThan">
      <formula>0</formula>
    </cfRule>
  </conditionalFormatting>
  <pageMargins left="0.7" right="0.7" top="0.75" bottom="0.75" header="0.3" footer="0.3"/>
  <pageSetup orientation="portrait" r:id="rId1"/>
  <headerFooter>
    <oddFooter>&amp;C&amp;"Calibri,Regular"&amp;11&amp;B&amp;K000000AEP CONFIDENTIAL</oddFooter>
    <evenFooter>&amp;C&amp;"Calibri,Regular"&amp;11&amp;B&amp;K000000AEP CONFIDENTIAL</evenFooter>
    <firstFooter>&amp;C&amp;"Calibri,Regular"&amp;11&amp;B&amp;K000000AEP CONFIDENTIAL</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DF752-1837-49C6-B81B-45BF93B7A47E}">
  <sheetPr>
    <pageSetUpPr autoPageBreaks="0"/>
  </sheetPr>
  <dimension ref="A1:S87"/>
  <sheetViews>
    <sheetView zoomScale="110" zoomScaleNormal="110" workbookViewId="0">
      <selection activeCell="H29" sqref="H29"/>
    </sheetView>
  </sheetViews>
  <sheetFormatPr defaultRowHeight="14.5" x14ac:dyDescent="0.35"/>
  <cols>
    <col min="1" max="1" width="16.26953125" customWidth="1"/>
    <col min="2" max="2" width="12.7265625" customWidth="1"/>
    <col min="3" max="3" width="10.7265625" customWidth="1"/>
    <col min="4" max="4" width="10.54296875" customWidth="1"/>
    <col min="5" max="5" width="11.453125" customWidth="1"/>
    <col min="6" max="6" width="17.1796875" bestFit="1" customWidth="1"/>
    <col min="7" max="7" width="17" customWidth="1"/>
    <col min="8" max="9" width="11.7265625" customWidth="1"/>
    <col min="10" max="10" width="14.26953125" bestFit="1" customWidth="1"/>
    <col min="11" max="11" width="12.81640625" customWidth="1"/>
    <col min="12" max="13" width="15.7265625" customWidth="1"/>
    <col min="14" max="15" width="18" customWidth="1"/>
    <col min="16" max="16" width="24.453125" customWidth="1"/>
    <col min="17" max="17" width="13.54296875" customWidth="1"/>
    <col min="18" max="18" width="14.26953125" customWidth="1"/>
  </cols>
  <sheetData>
    <row r="1" spans="1:17" ht="15" thickBot="1" x14ac:dyDescent="0.4"/>
    <row r="2" spans="1:17" ht="32" x14ac:dyDescent="0.45">
      <c r="A2" s="288" t="s">
        <v>133</v>
      </c>
      <c r="C2" s="169" t="s">
        <v>111</v>
      </c>
      <c r="D2" s="289"/>
      <c r="E2" s="289"/>
      <c r="F2" s="289"/>
      <c r="G2" s="289"/>
      <c r="N2" s="278" t="s">
        <v>95</v>
      </c>
      <c r="O2" s="228"/>
      <c r="P2" s="272" t="s">
        <v>107</v>
      </c>
    </row>
    <row r="3" spans="1:17" ht="15" thickBot="1" x14ac:dyDescent="0.4">
      <c r="A3" s="288"/>
      <c r="M3" t="s">
        <v>132</v>
      </c>
      <c r="N3" s="271">
        <v>889040</v>
      </c>
      <c r="O3" s="271"/>
      <c r="P3" s="271">
        <v>1446472.9894400002</v>
      </c>
    </row>
    <row r="4" spans="1:17" ht="15" thickBot="1" x14ac:dyDescent="0.4">
      <c r="B4" s="290" t="s">
        <v>110</v>
      </c>
      <c r="C4" s="291"/>
      <c r="D4" s="291"/>
      <c r="E4" s="291"/>
      <c r="F4" s="291"/>
      <c r="G4" s="291"/>
      <c r="H4" s="292" t="s">
        <v>109</v>
      </c>
      <c r="I4" s="292"/>
      <c r="J4" s="293"/>
      <c r="K4" s="135"/>
      <c r="M4" t="s">
        <v>131</v>
      </c>
      <c r="N4" s="121">
        <f>J25</f>
        <v>749000</v>
      </c>
      <c r="O4" s="121"/>
      <c r="P4" s="121">
        <f>K25</f>
        <v>1586512.9894400002</v>
      </c>
    </row>
    <row r="5" spans="1:17" s="164" customFormat="1" ht="31" x14ac:dyDescent="0.35">
      <c r="B5" s="168" t="s">
        <v>108</v>
      </c>
      <c r="C5" s="155" t="s">
        <v>85</v>
      </c>
      <c r="D5" s="155" t="s">
        <v>81</v>
      </c>
      <c r="E5" s="155" t="s">
        <v>98</v>
      </c>
      <c r="F5" s="167" t="s">
        <v>97</v>
      </c>
      <c r="G5" s="155" t="s">
        <v>96</v>
      </c>
      <c r="H5" s="155" t="s">
        <v>85</v>
      </c>
      <c r="I5" s="155" t="s">
        <v>98</v>
      </c>
      <c r="J5" s="273" t="s">
        <v>95</v>
      </c>
      <c r="K5" s="166" t="s">
        <v>107</v>
      </c>
      <c r="M5" s="265" t="s">
        <v>130</v>
      </c>
      <c r="N5" s="270">
        <f>N3-N4</f>
        <v>140040</v>
      </c>
      <c r="O5" s="270" t="s">
        <v>129</v>
      </c>
      <c r="P5" s="270">
        <f>P3-P4</f>
        <v>-140040</v>
      </c>
    </row>
    <row r="6" spans="1:17" s="164" customFormat="1" x14ac:dyDescent="0.35">
      <c r="B6" s="268">
        <v>1</v>
      </c>
      <c r="C6" s="262">
        <v>9</v>
      </c>
      <c r="D6" s="262">
        <v>12390</v>
      </c>
      <c r="E6" s="262">
        <v>1</v>
      </c>
      <c r="F6" s="263">
        <v>159880.24</v>
      </c>
      <c r="G6" s="210">
        <v>159880.01</v>
      </c>
      <c r="H6" s="262">
        <v>9</v>
      </c>
      <c r="I6" s="262">
        <v>1</v>
      </c>
      <c r="J6" s="274">
        <v>120000</v>
      </c>
      <c r="K6" s="252">
        <f t="shared" ref="K6:K24" si="0">F6-J6</f>
        <v>39880.239999999991</v>
      </c>
      <c r="Q6" s="269"/>
    </row>
    <row r="7" spans="1:17" s="164" customFormat="1" x14ac:dyDescent="0.35">
      <c r="B7" s="268">
        <v>1</v>
      </c>
      <c r="C7" s="262">
        <v>12</v>
      </c>
      <c r="D7" s="262">
        <v>12392</v>
      </c>
      <c r="E7" s="262">
        <v>1</v>
      </c>
      <c r="F7" s="263">
        <v>216786.44</v>
      </c>
      <c r="G7" s="210">
        <v>216786.44</v>
      </c>
      <c r="H7" s="262">
        <v>12</v>
      </c>
      <c r="I7" s="262">
        <v>1</v>
      </c>
      <c r="J7" s="274">
        <v>197000</v>
      </c>
      <c r="K7" s="252">
        <f t="shared" si="0"/>
        <v>19786.440000000002</v>
      </c>
      <c r="Q7" s="269"/>
    </row>
    <row r="8" spans="1:17" s="164" customFormat="1" x14ac:dyDescent="0.35">
      <c r="B8" s="268">
        <v>1</v>
      </c>
      <c r="C8" s="262">
        <v>12</v>
      </c>
      <c r="D8" s="262">
        <v>12396</v>
      </c>
      <c r="E8" s="262">
        <v>1</v>
      </c>
      <c r="F8" s="263">
        <v>234449.8</v>
      </c>
      <c r="G8" s="210">
        <v>234449.8</v>
      </c>
      <c r="H8" s="262">
        <v>12</v>
      </c>
      <c r="I8" s="262">
        <v>1</v>
      </c>
      <c r="J8" s="274">
        <v>197000</v>
      </c>
      <c r="K8" s="252">
        <f t="shared" si="0"/>
        <v>37449.799999999988</v>
      </c>
      <c r="Q8" s="269"/>
    </row>
    <row r="9" spans="1:17" s="164" customFormat="1" x14ac:dyDescent="0.35">
      <c r="B9" s="268">
        <v>1</v>
      </c>
      <c r="C9" s="262">
        <v>7</v>
      </c>
      <c r="D9" s="262">
        <v>11783</v>
      </c>
      <c r="E9" s="262">
        <v>1</v>
      </c>
      <c r="F9" s="263">
        <v>117932.96</v>
      </c>
      <c r="G9" s="210">
        <v>117932.88</v>
      </c>
      <c r="H9" s="262">
        <v>7</v>
      </c>
      <c r="I9" s="262">
        <v>1</v>
      </c>
      <c r="J9" s="274">
        <v>90000</v>
      </c>
      <c r="K9" s="252">
        <f t="shared" si="0"/>
        <v>27932.960000000006</v>
      </c>
    </row>
    <row r="10" spans="1:17" s="164" customFormat="1" x14ac:dyDescent="0.35">
      <c r="B10" s="268">
        <v>1</v>
      </c>
      <c r="C10" s="262">
        <v>7</v>
      </c>
      <c r="D10" s="262">
        <v>13453</v>
      </c>
      <c r="E10" s="262">
        <v>1</v>
      </c>
      <c r="F10" s="263">
        <v>100450</v>
      </c>
      <c r="G10" s="210">
        <v>42498.06</v>
      </c>
      <c r="H10" s="262">
        <v>7</v>
      </c>
      <c r="I10" s="262">
        <v>1</v>
      </c>
      <c r="J10" s="274">
        <v>90000</v>
      </c>
      <c r="K10" s="252">
        <f t="shared" si="0"/>
        <v>10450</v>
      </c>
    </row>
    <row r="11" spans="1:17" s="164" customFormat="1" x14ac:dyDescent="0.35">
      <c r="B11" s="267">
        <v>2</v>
      </c>
      <c r="C11" s="262">
        <v>6</v>
      </c>
      <c r="D11" s="262">
        <v>12392</v>
      </c>
      <c r="E11" s="262">
        <v>1</v>
      </c>
      <c r="F11" s="263">
        <v>102582.76</v>
      </c>
      <c r="G11" s="210">
        <v>102583</v>
      </c>
      <c r="H11" s="262" t="s">
        <v>128</v>
      </c>
      <c r="I11" s="262"/>
      <c r="J11" s="274"/>
      <c r="K11" s="252">
        <f t="shared" si="0"/>
        <v>102582.76</v>
      </c>
    </row>
    <row r="12" spans="1:17" s="164" customFormat="1" x14ac:dyDescent="0.35">
      <c r="B12" s="266">
        <v>3</v>
      </c>
      <c r="C12" s="262">
        <v>6</v>
      </c>
      <c r="D12" s="262">
        <v>12389</v>
      </c>
      <c r="E12" s="262">
        <v>1</v>
      </c>
      <c r="F12" s="263">
        <v>80332.7304</v>
      </c>
      <c r="G12" s="210">
        <v>80332.72</v>
      </c>
      <c r="H12" s="262">
        <v>5</v>
      </c>
      <c r="I12" s="262">
        <v>1</v>
      </c>
      <c r="J12" s="274">
        <v>55000</v>
      </c>
      <c r="K12" s="252">
        <f t="shared" si="0"/>
        <v>25332.7304</v>
      </c>
    </row>
    <row r="13" spans="1:17" s="164" customFormat="1" x14ac:dyDescent="0.35">
      <c r="A13" s="265"/>
      <c r="B13" s="261">
        <v>4</v>
      </c>
      <c r="C13" s="262">
        <v>9</v>
      </c>
      <c r="D13" s="262">
        <v>12396</v>
      </c>
      <c r="E13" s="262">
        <v>1</v>
      </c>
      <c r="F13" s="263">
        <v>150181.17000000001</v>
      </c>
      <c r="G13" s="210">
        <v>150181.20000000001</v>
      </c>
      <c r="H13" s="262"/>
      <c r="I13" s="262"/>
      <c r="J13" s="274"/>
      <c r="K13" s="252">
        <f t="shared" si="0"/>
        <v>150181.17000000001</v>
      </c>
    </row>
    <row r="14" spans="1:17" x14ac:dyDescent="0.35">
      <c r="A14" s="264"/>
      <c r="B14" s="261">
        <v>4</v>
      </c>
      <c r="C14" s="262">
        <v>4</v>
      </c>
      <c r="D14" s="262">
        <v>13736</v>
      </c>
      <c r="E14" s="262">
        <v>1</v>
      </c>
      <c r="F14" s="263">
        <v>63333.999040000002</v>
      </c>
      <c r="G14" s="210">
        <v>63333.919999999998</v>
      </c>
      <c r="H14" s="262"/>
      <c r="I14" s="262"/>
      <c r="J14" s="274"/>
      <c r="K14" s="252">
        <f t="shared" si="0"/>
        <v>63333.999040000002</v>
      </c>
    </row>
    <row r="15" spans="1:17" s="164" customFormat="1" x14ac:dyDescent="0.35">
      <c r="B15" s="261">
        <v>4</v>
      </c>
      <c r="C15" s="262">
        <v>7</v>
      </c>
      <c r="D15" s="262">
        <v>13453</v>
      </c>
      <c r="E15" s="262">
        <v>1</v>
      </c>
      <c r="F15" s="263">
        <v>87001.38</v>
      </c>
      <c r="G15" s="210">
        <v>87001.2</v>
      </c>
      <c r="H15" s="262"/>
      <c r="I15" s="262"/>
      <c r="J15" s="274"/>
      <c r="K15" s="252">
        <f t="shared" si="0"/>
        <v>87001.38</v>
      </c>
    </row>
    <row r="16" spans="1:17" x14ac:dyDescent="0.35">
      <c r="B16" s="261">
        <v>4</v>
      </c>
      <c r="C16" s="262">
        <v>7</v>
      </c>
      <c r="D16" s="262">
        <v>13453</v>
      </c>
      <c r="E16" s="262">
        <v>1</v>
      </c>
      <c r="F16" s="263">
        <v>87001.38</v>
      </c>
      <c r="G16" s="210">
        <v>66924</v>
      </c>
      <c r="H16" s="262"/>
      <c r="I16" s="262"/>
      <c r="J16" s="274"/>
      <c r="K16" s="252">
        <f t="shared" si="0"/>
        <v>87001.38</v>
      </c>
    </row>
    <row r="17" spans="2:19" s="164" customFormat="1" x14ac:dyDescent="0.35">
      <c r="B17" s="261">
        <v>4</v>
      </c>
      <c r="C17" s="262">
        <v>9</v>
      </c>
      <c r="D17" s="262">
        <v>11683</v>
      </c>
      <c r="E17" s="262">
        <v>1</v>
      </c>
      <c r="F17" s="263">
        <v>135061.32999999999</v>
      </c>
      <c r="G17" s="210">
        <v>135061.16</v>
      </c>
      <c r="H17" s="262"/>
      <c r="I17" s="262"/>
      <c r="J17" s="274"/>
      <c r="K17" s="252">
        <f t="shared" si="0"/>
        <v>135061.32999999999</v>
      </c>
    </row>
    <row r="18" spans="2:19" x14ac:dyDescent="0.35">
      <c r="B18" s="261">
        <v>4</v>
      </c>
      <c r="C18" s="262">
        <v>7</v>
      </c>
      <c r="D18" s="262">
        <v>12396</v>
      </c>
      <c r="E18" s="262">
        <v>1</v>
      </c>
      <c r="F18" s="263">
        <v>102879.63</v>
      </c>
      <c r="G18" s="210">
        <v>102879.4</v>
      </c>
      <c r="H18" s="262"/>
      <c r="I18" s="262"/>
      <c r="J18" s="274"/>
      <c r="K18" s="252">
        <f t="shared" si="0"/>
        <v>102879.63</v>
      </c>
    </row>
    <row r="19" spans="2:19" x14ac:dyDescent="0.35">
      <c r="B19" s="261">
        <v>4</v>
      </c>
      <c r="C19" s="262">
        <v>6</v>
      </c>
      <c r="D19" s="262">
        <v>13736</v>
      </c>
      <c r="E19" s="262">
        <v>1</v>
      </c>
      <c r="F19" s="263">
        <v>99970.54</v>
      </c>
      <c r="G19" s="210">
        <v>99970.52</v>
      </c>
      <c r="H19" s="262"/>
      <c r="I19" s="262"/>
      <c r="J19" s="274"/>
      <c r="K19" s="252">
        <f t="shared" si="0"/>
        <v>99970.54</v>
      </c>
    </row>
    <row r="20" spans="2:19" x14ac:dyDescent="0.35">
      <c r="B20" s="261">
        <v>4</v>
      </c>
      <c r="C20" s="262">
        <v>10</v>
      </c>
      <c r="D20" s="262">
        <v>13454</v>
      </c>
      <c r="E20" s="262">
        <v>1</v>
      </c>
      <c r="F20" s="263">
        <v>160528.09</v>
      </c>
      <c r="G20" s="210">
        <v>160528</v>
      </c>
      <c r="H20" s="262"/>
      <c r="I20" s="262"/>
      <c r="J20" s="274"/>
      <c r="K20" s="252">
        <f t="shared" si="0"/>
        <v>160528.09</v>
      </c>
    </row>
    <row r="21" spans="2:19" x14ac:dyDescent="0.35">
      <c r="B21" s="261">
        <v>4</v>
      </c>
      <c r="C21" s="257">
        <v>4</v>
      </c>
      <c r="D21" s="257">
        <v>13450</v>
      </c>
      <c r="E21" s="257">
        <v>1</v>
      </c>
      <c r="F21" s="259">
        <v>66727.960000000006</v>
      </c>
      <c r="G21" s="258">
        <v>66727.739520000003</v>
      </c>
      <c r="H21" s="257"/>
      <c r="I21" s="257"/>
      <c r="J21" s="275"/>
      <c r="K21" s="252">
        <f t="shared" si="0"/>
        <v>66727.960000000006</v>
      </c>
    </row>
    <row r="22" spans="2:19" x14ac:dyDescent="0.35">
      <c r="B22" s="261">
        <v>4</v>
      </c>
      <c r="C22" s="257">
        <v>6</v>
      </c>
      <c r="D22" s="257">
        <v>13450</v>
      </c>
      <c r="E22" s="257">
        <v>1</v>
      </c>
      <c r="F22" s="259">
        <v>95930.7</v>
      </c>
      <c r="G22" s="258">
        <v>95930.64</v>
      </c>
      <c r="H22" s="257"/>
      <c r="I22" s="257"/>
      <c r="J22" s="275"/>
      <c r="K22" s="252">
        <f t="shared" si="0"/>
        <v>95930.7</v>
      </c>
    </row>
    <row r="23" spans="2:19" ht="15" thickBot="1" x14ac:dyDescent="0.4">
      <c r="B23" s="260">
        <v>4</v>
      </c>
      <c r="C23" s="257">
        <v>9</v>
      </c>
      <c r="D23" s="257">
        <v>13655</v>
      </c>
      <c r="E23" s="257">
        <v>1</v>
      </c>
      <c r="F23" s="259">
        <v>133250</v>
      </c>
      <c r="G23" s="258">
        <v>133250</v>
      </c>
      <c r="H23" s="257"/>
      <c r="I23" s="257"/>
      <c r="J23" s="275"/>
      <c r="K23" s="252">
        <f t="shared" si="0"/>
        <v>133250</v>
      </c>
    </row>
    <row r="24" spans="2:19" ht="15" thickBot="1" x14ac:dyDescent="0.4">
      <c r="B24" s="256">
        <v>4</v>
      </c>
      <c r="C24" s="253">
        <v>10</v>
      </c>
      <c r="D24" s="253">
        <v>13655</v>
      </c>
      <c r="E24" s="253">
        <v>1</v>
      </c>
      <c r="F24" s="255">
        <v>141231.88</v>
      </c>
      <c r="G24" s="254">
        <v>141232</v>
      </c>
      <c r="H24" s="253"/>
      <c r="I24" s="253"/>
      <c r="J24" s="276"/>
      <c r="K24" s="252">
        <f t="shared" si="0"/>
        <v>141231.88</v>
      </c>
      <c r="O24" s="294" t="s">
        <v>127</v>
      </c>
      <c r="P24" s="295"/>
      <c r="Q24" s="295"/>
      <c r="R24" s="295"/>
      <c r="S24" s="251"/>
    </row>
    <row r="25" spans="2:19" x14ac:dyDescent="0.35">
      <c r="B25" s="135" t="s">
        <v>104</v>
      </c>
      <c r="C25" s="135"/>
      <c r="D25" s="135"/>
      <c r="E25" s="135">
        <f>SUM(E6:E24)</f>
        <v>19</v>
      </c>
      <c r="F25" s="250">
        <f>SUM(F6:F24)</f>
        <v>2335512.9894399997</v>
      </c>
      <c r="G25" s="110">
        <f>SUM(G6:G24)</f>
        <v>2257482.6895199995</v>
      </c>
      <c r="H25" s="135"/>
      <c r="I25" s="135">
        <f>SUM(I6:I24)</f>
        <v>6</v>
      </c>
      <c r="J25" s="277">
        <f>SUM(J6:J24)</f>
        <v>749000</v>
      </c>
      <c r="K25" s="229">
        <f>SUM(K6:K24)</f>
        <v>1586512.9894400002</v>
      </c>
      <c r="L25" s="249">
        <f>F25/2-J25/4</f>
        <v>980506.49471999984</v>
      </c>
      <c r="O25" s="248" t="s">
        <v>126</v>
      </c>
      <c r="P25" s="247"/>
      <c r="Q25" s="247"/>
      <c r="R25" s="247"/>
      <c r="S25" s="246"/>
    </row>
    <row r="26" spans="2:19" x14ac:dyDescent="0.35">
      <c r="F26" s="158" t="s">
        <v>103</v>
      </c>
      <c r="G26" s="158"/>
      <c r="H26" s="158"/>
      <c r="I26" s="158"/>
      <c r="J26" s="158" t="s">
        <v>102</v>
      </c>
      <c r="K26" s="158" t="s">
        <v>101</v>
      </c>
      <c r="L26" s="135"/>
      <c r="M26" s="135"/>
      <c r="N26" s="135"/>
      <c r="O26" s="245" t="s">
        <v>125</v>
      </c>
      <c r="P26" s="244"/>
      <c r="Q26" s="244"/>
      <c r="R26" s="244"/>
      <c r="S26" s="243"/>
    </row>
    <row r="27" spans="2:19" ht="15" thickBot="1" x14ac:dyDescent="0.4">
      <c r="F27" s="158"/>
      <c r="G27" s="158">
        <f>220-(E25-I25)</f>
        <v>207</v>
      </c>
      <c r="H27" s="158"/>
      <c r="I27" s="158"/>
      <c r="J27" s="158"/>
      <c r="K27" s="242"/>
      <c r="O27" s="241" t="s">
        <v>124</v>
      </c>
      <c r="P27" s="240"/>
      <c r="Q27" s="240"/>
      <c r="R27" s="240"/>
      <c r="S27" s="239"/>
    </row>
    <row r="28" spans="2:19" ht="15" thickBot="1" x14ac:dyDescent="0.4">
      <c r="B28" s="296" t="s">
        <v>100</v>
      </c>
      <c r="C28" s="297"/>
      <c r="D28" s="297"/>
      <c r="E28" s="297"/>
      <c r="F28" s="298"/>
      <c r="I28" s="296" t="s">
        <v>99</v>
      </c>
      <c r="J28" s="298"/>
      <c r="K28" s="238"/>
      <c r="O28" s="237" t="s">
        <v>123</v>
      </c>
      <c r="P28" s="236"/>
      <c r="Q28" s="236"/>
      <c r="R28" s="236"/>
      <c r="S28" s="235"/>
    </row>
    <row r="29" spans="2:19" ht="46" thickBot="1" x14ac:dyDescent="0.4">
      <c r="B29" s="132" t="s">
        <v>85</v>
      </c>
      <c r="C29" s="133" t="s">
        <v>81</v>
      </c>
      <c r="D29" s="133" t="s">
        <v>98</v>
      </c>
      <c r="E29" s="155" t="s">
        <v>97</v>
      </c>
      <c r="F29" s="154" t="s">
        <v>96</v>
      </c>
      <c r="I29" s="132" t="s">
        <v>85</v>
      </c>
      <c r="J29" s="154" t="s">
        <v>95</v>
      </c>
      <c r="K29" s="294" t="s">
        <v>99</v>
      </c>
      <c r="L29" s="295"/>
      <c r="M29" s="299"/>
      <c r="N29" s="47"/>
      <c r="O29" s="47"/>
    </row>
    <row r="30" spans="2:19" ht="15.75" customHeight="1" thickBot="1" x14ac:dyDescent="0.4">
      <c r="B30" s="131"/>
      <c r="C30" s="130"/>
      <c r="D30" s="130"/>
      <c r="E30" s="211"/>
      <c r="F30" s="234"/>
      <c r="I30" s="128">
        <v>12</v>
      </c>
      <c r="J30" s="233">
        <v>215000</v>
      </c>
      <c r="K30" s="300" t="s">
        <v>122</v>
      </c>
      <c r="L30" s="301"/>
      <c r="M30" s="302"/>
      <c r="N30" s="232"/>
      <c r="O30" s="232"/>
    </row>
    <row r="31" spans="2:19" ht="15" customHeight="1" x14ac:dyDescent="0.35">
      <c r="B31" s="120"/>
      <c r="C31" s="119"/>
      <c r="D31" s="119"/>
      <c r="E31" s="210"/>
      <c r="F31" s="231"/>
      <c r="I31" s="120">
        <v>11</v>
      </c>
      <c r="J31" s="231">
        <v>185000</v>
      </c>
      <c r="K31" s="303" t="s">
        <v>121</v>
      </c>
      <c r="L31" s="304"/>
      <c r="M31" s="305"/>
      <c r="N31" s="164"/>
      <c r="O31" s="164"/>
    </row>
    <row r="32" spans="2:19" ht="15" thickBot="1" x14ac:dyDescent="0.4">
      <c r="B32" s="120"/>
      <c r="C32" s="119"/>
      <c r="D32" s="119"/>
      <c r="E32" s="210"/>
      <c r="F32" s="231"/>
      <c r="I32" s="120">
        <v>10</v>
      </c>
      <c r="J32" s="231">
        <v>156000</v>
      </c>
      <c r="K32" s="306"/>
      <c r="L32" s="307"/>
      <c r="M32" s="308"/>
      <c r="N32" s="164"/>
      <c r="O32" s="164"/>
    </row>
    <row r="33" spans="1:15" x14ac:dyDescent="0.35">
      <c r="B33" s="120"/>
      <c r="C33" s="119"/>
      <c r="D33" s="119"/>
      <c r="E33" s="210"/>
      <c r="F33" s="231"/>
      <c r="I33" s="120">
        <v>9</v>
      </c>
      <c r="J33" s="231">
        <v>133000</v>
      </c>
    </row>
    <row r="34" spans="1:15" x14ac:dyDescent="0.35">
      <c r="B34" s="120"/>
      <c r="C34" s="119"/>
      <c r="D34" s="119"/>
      <c r="E34" s="119"/>
      <c r="F34" s="151"/>
      <c r="I34" s="120">
        <v>8</v>
      </c>
      <c r="J34" s="231">
        <v>113000</v>
      </c>
    </row>
    <row r="35" spans="1:15" x14ac:dyDescent="0.35">
      <c r="B35" s="120"/>
      <c r="C35" s="119"/>
      <c r="D35" s="119"/>
      <c r="E35" s="119"/>
      <c r="F35" s="151"/>
      <c r="I35" s="120">
        <v>7</v>
      </c>
      <c r="J35" s="231">
        <v>97000</v>
      </c>
    </row>
    <row r="36" spans="1:15" x14ac:dyDescent="0.35">
      <c r="B36" s="120"/>
      <c r="C36" s="119"/>
      <c r="D36" s="119"/>
      <c r="E36" s="119"/>
      <c r="F36" s="151"/>
      <c r="I36" s="120">
        <v>6</v>
      </c>
      <c r="J36" s="231">
        <v>83000</v>
      </c>
    </row>
    <row r="37" spans="1:15" ht="15" thickBot="1" x14ac:dyDescent="0.4">
      <c r="B37" s="115"/>
      <c r="C37" s="114"/>
      <c r="D37" s="114"/>
      <c r="E37" s="114"/>
      <c r="F37" s="149"/>
      <c r="I37" s="115">
        <v>5</v>
      </c>
      <c r="J37" s="230">
        <v>71000</v>
      </c>
    </row>
    <row r="38" spans="1:15" x14ac:dyDescent="0.35">
      <c r="B38" s="135" t="s">
        <v>94</v>
      </c>
      <c r="D38" s="135">
        <f>SUM(D29:D37)</f>
        <v>0</v>
      </c>
      <c r="E38" s="229">
        <f>SUM(E29:E37)</f>
        <v>0</v>
      </c>
      <c r="F38" s="229">
        <f>SUM(F29:F37)</f>
        <v>0</v>
      </c>
    </row>
    <row r="39" spans="1:15" ht="15" thickBot="1" x14ac:dyDescent="0.4"/>
    <row r="40" spans="1:15" ht="15" thickBot="1" x14ac:dyDescent="0.4">
      <c r="B40" s="296" t="s">
        <v>93</v>
      </c>
      <c r="C40" s="297"/>
      <c r="D40" s="297"/>
      <c r="E40" s="297"/>
      <c r="F40" s="298"/>
      <c r="H40" s="296" t="s">
        <v>92</v>
      </c>
      <c r="I40" s="297"/>
      <c r="J40" s="297"/>
      <c r="K40" s="297"/>
      <c r="L40" s="297"/>
      <c r="M40" s="298"/>
      <c r="N40" s="47"/>
      <c r="O40" s="47"/>
    </row>
    <row r="41" spans="1:15" ht="46" thickBot="1" x14ac:dyDescent="0.4">
      <c r="B41" s="132" t="s">
        <v>85</v>
      </c>
      <c r="C41" s="133" t="s">
        <v>81</v>
      </c>
      <c r="D41" s="133" t="s">
        <v>91</v>
      </c>
      <c r="E41" s="146" t="s">
        <v>90</v>
      </c>
      <c r="F41" s="145" t="s">
        <v>89</v>
      </c>
      <c r="H41" s="144" t="s">
        <v>81</v>
      </c>
      <c r="I41" s="133" t="s">
        <v>88</v>
      </c>
      <c r="J41" s="133" t="s">
        <v>83</v>
      </c>
      <c r="K41" s="279" t="s">
        <v>82</v>
      </c>
      <c r="L41" s="309" t="s">
        <v>79</v>
      </c>
      <c r="M41" s="310"/>
      <c r="N41" s="228"/>
      <c r="O41" s="228"/>
    </row>
    <row r="42" spans="1:15" ht="52.5" customHeight="1" x14ac:dyDescent="0.35">
      <c r="A42" s="219"/>
      <c r="B42" s="227">
        <v>6</v>
      </c>
      <c r="C42" s="226">
        <v>13655</v>
      </c>
      <c r="D42" s="225" t="s">
        <v>120</v>
      </c>
      <c r="E42" s="224">
        <v>83000</v>
      </c>
      <c r="F42" s="223">
        <f t="shared" ref="F42:F47" si="1">E42*0.5</f>
        <v>41500</v>
      </c>
      <c r="H42" s="128">
        <v>12392</v>
      </c>
      <c r="I42" s="130">
        <v>26</v>
      </c>
      <c r="J42" s="211">
        <v>18106</v>
      </c>
      <c r="K42" s="280">
        <f t="shared" ref="K42:K47" si="2">ROUND(J42/52*I42,-2)</f>
        <v>9100</v>
      </c>
      <c r="L42" s="222" t="s">
        <v>119</v>
      </c>
      <c r="M42" s="221"/>
      <c r="N42" s="220"/>
      <c r="O42" s="220"/>
    </row>
    <row r="43" spans="1:15" x14ac:dyDescent="0.35">
      <c r="A43" s="219"/>
      <c r="B43" s="217">
        <v>7</v>
      </c>
      <c r="C43" s="216">
        <v>12682</v>
      </c>
      <c r="D43" s="215" t="s">
        <v>118</v>
      </c>
      <c r="E43" s="214">
        <v>97000</v>
      </c>
      <c r="F43" s="213">
        <f t="shared" si="1"/>
        <v>48500</v>
      </c>
      <c r="H43" s="120"/>
      <c r="I43" s="119"/>
      <c r="J43" s="210"/>
      <c r="K43" s="274">
        <f t="shared" si="2"/>
        <v>0</v>
      </c>
      <c r="L43" s="311"/>
      <c r="M43" s="312"/>
      <c r="N43" s="198"/>
      <c r="O43" s="198"/>
    </row>
    <row r="44" spans="1:15" x14ac:dyDescent="0.35">
      <c r="A44" s="219"/>
      <c r="B44" s="217">
        <v>6</v>
      </c>
      <c r="C44" s="216">
        <v>11680</v>
      </c>
      <c r="D44" s="215" t="s">
        <v>117</v>
      </c>
      <c r="E44" s="214">
        <v>83000</v>
      </c>
      <c r="F44" s="213">
        <f t="shared" si="1"/>
        <v>41500</v>
      </c>
      <c r="H44" s="120"/>
      <c r="I44" s="119"/>
      <c r="J44" s="210"/>
      <c r="K44" s="274">
        <f t="shared" si="2"/>
        <v>0</v>
      </c>
      <c r="L44" s="311"/>
      <c r="M44" s="312"/>
      <c r="N44" s="198"/>
      <c r="O44" s="198"/>
    </row>
    <row r="45" spans="1:15" x14ac:dyDescent="0.35">
      <c r="A45" s="218"/>
      <c r="B45" s="217" t="s">
        <v>116</v>
      </c>
      <c r="C45" s="216">
        <v>11266</v>
      </c>
      <c r="D45" s="215" t="s">
        <v>115</v>
      </c>
      <c r="E45" s="214">
        <v>55000</v>
      </c>
      <c r="F45" s="213">
        <f t="shared" si="1"/>
        <v>27500</v>
      </c>
      <c r="H45" s="120"/>
      <c r="I45" s="119"/>
      <c r="J45" s="210"/>
      <c r="K45" s="274">
        <f t="shared" si="2"/>
        <v>0</v>
      </c>
      <c r="L45" s="311"/>
      <c r="M45" s="312"/>
      <c r="N45" s="198"/>
      <c r="O45" s="198"/>
    </row>
    <row r="46" spans="1:15" x14ac:dyDescent="0.35">
      <c r="B46" s="120"/>
      <c r="C46" s="119"/>
      <c r="D46" s="119"/>
      <c r="E46" s="119"/>
      <c r="F46" s="213">
        <f t="shared" si="1"/>
        <v>0</v>
      </c>
      <c r="H46" s="120"/>
      <c r="I46" s="119"/>
      <c r="J46" s="119"/>
      <c r="K46" s="274">
        <f t="shared" si="2"/>
        <v>0</v>
      </c>
      <c r="L46" s="311"/>
      <c r="M46" s="312"/>
      <c r="N46" s="198"/>
      <c r="O46" s="198"/>
    </row>
    <row r="47" spans="1:15" ht="15" thickBot="1" x14ac:dyDescent="0.4">
      <c r="B47" s="115"/>
      <c r="C47" s="114"/>
      <c r="D47" s="114"/>
      <c r="E47" s="114"/>
      <c r="F47" s="212">
        <f t="shared" si="1"/>
        <v>0</v>
      </c>
      <c r="H47" s="115"/>
      <c r="I47" s="114"/>
      <c r="J47" s="114"/>
      <c r="K47" s="276">
        <f t="shared" si="2"/>
        <v>0</v>
      </c>
      <c r="L47" s="313"/>
      <c r="M47" s="314"/>
      <c r="N47" s="198"/>
      <c r="O47" s="198"/>
    </row>
    <row r="48" spans="1:15" x14ac:dyDescent="0.35">
      <c r="D48" s="135">
        <f>COUNT(D42:D47)</f>
        <v>0</v>
      </c>
      <c r="E48" s="110">
        <f>SUM(E42:E47)</f>
        <v>318000</v>
      </c>
      <c r="F48" s="134">
        <f>SUM(F42:F47)</f>
        <v>159000</v>
      </c>
      <c r="I48" s="110"/>
      <c r="J48" s="110">
        <f>SUM(J42:J47)</f>
        <v>18106</v>
      </c>
      <c r="K48" s="281">
        <f>SUM(K42:K47)</f>
        <v>9100</v>
      </c>
    </row>
    <row r="49" spans="2:17" ht="15" thickBot="1" x14ac:dyDescent="0.4">
      <c r="F49" s="110"/>
      <c r="I49" s="110"/>
    </row>
    <row r="50" spans="2:17" ht="15" thickBot="1" x14ac:dyDescent="0.4">
      <c r="B50" s="296" t="s">
        <v>87</v>
      </c>
      <c r="C50" s="297"/>
      <c r="D50" s="297"/>
      <c r="E50" s="297"/>
      <c r="F50" s="298"/>
      <c r="H50" s="296" t="s">
        <v>86</v>
      </c>
      <c r="I50" s="297"/>
      <c r="J50" s="297"/>
      <c r="K50" s="298"/>
    </row>
    <row r="51" spans="2:17" ht="31.5" thickBot="1" x14ac:dyDescent="0.4">
      <c r="B51" s="132" t="s">
        <v>85</v>
      </c>
      <c r="C51" s="133" t="s">
        <v>81</v>
      </c>
      <c r="D51" s="133" t="s">
        <v>84</v>
      </c>
      <c r="E51" s="133" t="s">
        <v>83</v>
      </c>
      <c r="F51" s="279" t="s">
        <v>82</v>
      </c>
      <c r="H51" s="132" t="s">
        <v>81</v>
      </c>
      <c r="I51" s="282" t="s">
        <v>80</v>
      </c>
      <c r="J51" s="326" t="s">
        <v>79</v>
      </c>
      <c r="K51" s="327"/>
    </row>
    <row r="52" spans="2:17" x14ac:dyDescent="0.35">
      <c r="B52" s="131"/>
      <c r="C52" s="130"/>
      <c r="D52" s="130"/>
      <c r="E52" s="211"/>
      <c r="F52" s="280">
        <f>ROUND(E52/52*D52,-2)</f>
        <v>0</v>
      </c>
      <c r="H52" s="328"/>
      <c r="I52" s="329"/>
      <c r="J52" s="330"/>
      <c r="K52" s="331"/>
    </row>
    <row r="53" spans="2:17" x14ac:dyDescent="0.35">
      <c r="B53" s="120"/>
      <c r="C53" s="119"/>
      <c r="D53" s="119"/>
      <c r="E53" s="210"/>
      <c r="F53" s="274">
        <f>ROUND(E53/52*D53,-2)</f>
        <v>0</v>
      </c>
      <c r="H53" s="315"/>
      <c r="I53" s="317"/>
      <c r="J53" s="319"/>
      <c r="K53" s="320"/>
    </row>
    <row r="54" spans="2:17" x14ac:dyDescent="0.35">
      <c r="B54" s="120"/>
      <c r="C54" s="119"/>
      <c r="D54" s="119"/>
      <c r="E54" s="210"/>
      <c r="F54" s="274">
        <f>ROUND(E54/52*D54,-2)</f>
        <v>0</v>
      </c>
      <c r="H54" s="315"/>
      <c r="I54" s="317"/>
      <c r="J54" s="319"/>
      <c r="K54" s="320"/>
    </row>
    <row r="55" spans="2:17" x14ac:dyDescent="0.35">
      <c r="B55" s="120"/>
      <c r="C55" s="119"/>
      <c r="D55" s="119"/>
      <c r="E55" s="210"/>
      <c r="F55" s="274"/>
      <c r="H55" s="315"/>
      <c r="I55" s="317"/>
      <c r="J55" s="319"/>
      <c r="K55" s="320"/>
    </row>
    <row r="56" spans="2:17" x14ac:dyDescent="0.35">
      <c r="B56" s="120"/>
      <c r="C56" s="119"/>
      <c r="D56" s="119"/>
      <c r="E56" s="119"/>
      <c r="F56" s="274">
        <f>ROUND(E56/52*D56,-2)</f>
        <v>0</v>
      </c>
      <c r="H56" s="315"/>
      <c r="I56" s="317"/>
      <c r="J56" s="319"/>
      <c r="K56" s="320"/>
    </row>
    <row r="57" spans="2:17" ht="15" thickBot="1" x14ac:dyDescent="0.4">
      <c r="B57" s="115"/>
      <c r="C57" s="114"/>
      <c r="D57" s="114"/>
      <c r="E57" s="114"/>
      <c r="F57" s="276">
        <f>ROUND(E57/52*D57,-2)</f>
        <v>0</v>
      </c>
      <c r="H57" s="316"/>
      <c r="I57" s="318"/>
      <c r="J57" s="321"/>
      <c r="K57" s="322"/>
    </row>
    <row r="58" spans="2:17" x14ac:dyDescent="0.35">
      <c r="F58" s="281">
        <f>SUM(F52:F57)</f>
        <v>0</v>
      </c>
      <c r="I58" s="281">
        <f>SUM(I52:I57)</f>
        <v>0</v>
      </c>
    </row>
    <row r="59" spans="2:17" x14ac:dyDescent="0.35">
      <c r="F59" s="110"/>
      <c r="I59" s="110"/>
    </row>
    <row r="60" spans="2:17" ht="16.5" x14ac:dyDescent="0.35">
      <c r="B60" s="109" t="s">
        <v>78</v>
      </c>
    </row>
    <row r="61" spans="2:17" ht="15" thickBot="1" x14ac:dyDescent="0.4">
      <c r="L61" s="323" t="s">
        <v>77</v>
      </c>
      <c r="M61" s="323"/>
      <c r="N61" s="323"/>
      <c r="O61" s="323"/>
      <c r="P61" s="323"/>
      <c r="Q61" s="323"/>
    </row>
    <row r="62" spans="2:17" ht="15" thickBot="1" x14ac:dyDescent="0.4">
      <c r="C62" s="108"/>
      <c r="D62" s="107"/>
      <c r="E62" s="106" t="s">
        <v>76</v>
      </c>
      <c r="F62" s="105">
        <f>-G25</f>
        <v>-2257482.6895199995</v>
      </c>
      <c r="K62" s="324" t="s">
        <v>75</v>
      </c>
      <c r="L62" s="28">
        <v>2024</v>
      </c>
      <c r="M62" s="28">
        <v>2025</v>
      </c>
      <c r="N62" s="28">
        <v>2026</v>
      </c>
      <c r="O62" s="28"/>
      <c r="P62" s="28">
        <v>2027</v>
      </c>
      <c r="Q62" s="28">
        <v>2028</v>
      </c>
    </row>
    <row r="63" spans="2:17" x14ac:dyDescent="0.35">
      <c r="C63" s="95"/>
      <c r="E63" s="42" t="s">
        <v>74</v>
      </c>
      <c r="F63" s="209">
        <f>(L25-F58-K48)*1.4-I58</f>
        <v>1359969.0926079997</v>
      </c>
      <c r="H63" s="339" t="s">
        <v>73</v>
      </c>
      <c r="I63" s="340"/>
      <c r="K63" s="325"/>
      <c r="L63" s="88">
        <v>0</v>
      </c>
      <c r="M63" s="88">
        <v>1</v>
      </c>
      <c r="N63" s="88">
        <v>2</v>
      </c>
      <c r="O63" s="88"/>
      <c r="P63" s="88">
        <v>3</v>
      </c>
      <c r="Q63" s="88">
        <v>4</v>
      </c>
    </row>
    <row r="64" spans="2:17" x14ac:dyDescent="0.35">
      <c r="C64" s="95"/>
      <c r="E64" s="42" t="s">
        <v>72</v>
      </c>
      <c r="F64" s="209">
        <f>(K25-J48)*1.4-I58</f>
        <v>2195769.7852159999</v>
      </c>
      <c r="G64" s="121"/>
      <c r="H64" s="104">
        <v>2024</v>
      </c>
      <c r="I64" s="103">
        <v>2025</v>
      </c>
      <c r="K64" s="102" t="s">
        <v>71</v>
      </c>
      <c r="L64" s="101">
        <f>F62+F63+F65</f>
        <v>-738513.59691199986</v>
      </c>
      <c r="M64" s="101">
        <f>I65</f>
        <v>2513769.7852159999</v>
      </c>
      <c r="N64" s="101">
        <f>M64</f>
        <v>2513769.7852159999</v>
      </c>
      <c r="O64" s="101"/>
      <c r="P64" s="101">
        <f>N64</f>
        <v>2513769.7852159999</v>
      </c>
      <c r="Q64" s="101">
        <f>P64</f>
        <v>2513769.7852159999</v>
      </c>
    </row>
    <row r="65" spans="2:18" ht="15" thickBot="1" x14ac:dyDescent="0.4">
      <c r="C65" s="95"/>
      <c r="E65" s="42" t="s">
        <v>70</v>
      </c>
      <c r="F65" s="209">
        <f>F48</f>
        <v>159000</v>
      </c>
      <c r="H65" s="99">
        <f>F63+F65</f>
        <v>1518969.0926079997</v>
      </c>
      <c r="I65" s="98">
        <f>F64+F66</f>
        <v>2513769.7852159999</v>
      </c>
      <c r="K65" s="97" t="s">
        <v>69</v>
      </c>
      <c r="L65" s="96">
        <f>L64</f>
        <v>-738513.59691199986</v>
      </c>
      <c r="M65" s="96">
        <f>L65+M64</f>
        <v>1775256.1883040001</v>
      </c>
      <c r="N65" s="96">
        <f>M65+N64</f>
        <v>4289025.9735199995</v>
      </c>
      <c r="O65" s="96"/>
      <c r="P65" s="96">
        <f>N65+P64</f>
        <v>6802795.7587359995</v>
      </c>
      <c r="Q65" s="96">
        <f>P65+Q64</f>
        <v>9316565.5439519994</v>
      </c>
    </row>
    <row r="66" spans="2:18" ht="43.5" x14ac:dyDescent="0.35">
      <c r="B66" s="121"/>
      <c r="C66" s="95"/>
      <c r="E66" s="42" t="s">
        <v>68</v>
      </c>
      <c r="F66" s="208">
        <f>E48</f>
        <v>318000</v>
      </c>
      <c r="G66" s="207" t="s">
        <v>114</v>
      </c>
      <c r="H66" s="206">
        <f>H65-I80</f>
        <v>804832.59788799961</v>
      </c>
      <c r="I66" s="205">
        <f>I65-J80</f>
        <v>1085402.7957759998</v>
      </c>
    </row>
    <row r="67" spans="2:18" ht="16.5" thickBot="1" x14ac:dyDescent="0.55000000000000004">
      <c r="B67" s="204"/>
      <c r="C67" s="93"/>
      <c r="D67" s="92"/>
      <c r="E67" s="91" t="s">
        <v>67</v>
      </c>
      <c r="F67" s="203">
        <f>SUM(F62:F66)</f>
        <v>1775256.1883040001</v>
      </c>
      <c r="G67" s="202">
        <f>F67-G82</f>
        <v>1890235.3936639994</v>
      </c>
      <c r="H67" s="341" t="s">
        <v>113</v>
      </c>
      <c r="I67" s="342"/>
    </row>
    <row r="68" spans="2:18" x14ac:dyDescent="0.35">
      <c r="B68" s="121"/>
      <c r="E68" s="42" t="s">
        <v>66</v>
      </c>
      <c r="F68" s="201">
        <f>SUMIF(L68:N68,"&gt;0",L68:N68)*12</f>
        <v>3.5254474037615591</v>
      </c>
      <c r="K68" s="88" t="s">
        <v>65</v>
      </c>
      <c r="L68" s="88">
        <f>IF(AND(L65&lt;0,M65&gt;0),L63+ABS(L65/M64))</f>
        <v>0.29378728364679657</v>
      </c>
      <c r="M68" s="88" t="b">
        <f>IF(AND(M65&lt;0,N65&gt;0),M63+ABS(M65/N64))</f>
        <v>0</v>
      </c>
      <c r="N68" s="88" t="b">
        <f>IF(AND(N65&lt;0,P65&gt;0),N63+ABS(N65/P64))</f>
        <v>0</v>
      </c>
      <c r="O68" s="88"/>
      <c r="P68" s="88" t="b">
        <f>IF(AND(P65&lt;0,Q65&gt;0),P63+ABS(P65/Q64))</f>
        <v>0</v>
      </c>
      <c r="Q68" s="88" t="b">
        <f>IF(AND(Q65&lt;0,R65&gt;0),Q63+ABS(Q65/R64))</f>
        <v>0</v>
      </c>
    </row>
    <row r="69" spans="2:18" x14ac:dyDescent="0.35">
      <c r="B69" s="200"/>
      <c r="K69" s="199"/>
      <c r="L69" s="199"/>
      <c r="M69" s="199"/>
      <c r="N69" s="199"/>
      <c r="O69" s="199"/>
      <c r="P69" s="199"/>
      <c r="Q69" s="199"/>
    </row>
    <row r="70" spans="2:18" ht="15" thickBot="1" x14ac:dyDescent="0.4">
      <c r="K70" s="199"/>
      <c r="L70" s="199"/>
      <c r="M70" s="199"/>
      <c r="N70" s="199"/>
      <c r="O70" s="199"/>
      <c r="P70" s="199"/>
      <c r="Q70" s="199"/>
    </row>
    <row r="71" spans="2:18" ht="98.25" customHeight="1" thickBot="1" x14ac:dyDescent="0.4">
      <c r="B71" s="332" t="s">
        <v>64</v>
      </c>
      <c r="C71" s="333"/>
      <c r="D71" s="333"/>
      <c r="E71" s="333"/>
      <c r="F71" s="333"/>
      <c r="G71" s="333"/>
      <c r="H71" s="333"/>
      <c r="I71" s="333"/>
      <c r="J71" s="333"/>
      <c r="K71" s="334"/>
    </row>
    <row r="72" spans="2:18" ht="62.25" customHeight="1" x14ac:dyDescent="0.35">
      <c r="B72" s="198"/>
      <c r="C72" s="85"/>
      <c r="D72" s="85"/>
      <c r="E72" s="85"/>
      <c r="F72" s="85"/>
      <c r="G72" s="198"/>
      <c r="H72" s="198"/>
      <c r="I72" s="198"/>
      <c r="J72" s="198"/>
      <c r="K72" s="198"/>
    </row>
    <row r="73" spans="2:18" x14ac:dyDescent="0.35">
      <c r="C73" s="198"/>
      <c r="D73" s="198"/>
      <c r="E73" s="198"/>
      <c r="F73" s="198"/>
    </row>
    <row r="74" spans="2:18" ht="15" thickBot="1" x14ac:dyDescent="0.4">
      <c r="C74" s="198"/>
      <c r="D74" s="198"/>
      <c r="E74" s="198"/>
      <c r="F74" s="198"/>
    </row>
    <row r="75" spans="2:18" ht="21" x14ac:dyDescent="0.5">
      <c r="C75" s="197" t="s">
        <v>112</v>
      </c>
      <c r="D75" s="196"/>
      <c r="E75" s="196"/>
      <c r="F75" s="196"/>
      <c r="G75" s="196"/>
      <c r="H75" s="196"/>
      <c r="I75" s="196"/>
      <c r="J75" s="196"/>
      <c r="K75" s="196"/>
      <c r="L75" s="196"/>
      <c r="M75" s="196"/>
      <c r="N75" s="196"/>
      <c r="O75" s="196"/>
      <c r="P75" s="196"/>
      <c r="Q75" s="196"/>
      <c r="R75" s="195"/>
    </row>
    <row r="76" spans="2:18" ht="15" thickBot="1" x14ac:dyDescent="0.4">
      <c r="C76" s="95"/>
      <c r="M76" s="323" t="s">
        <v>77</v>
      </c>
      <c r="N76" s="323"/>
      <c r="O76" s="323"/>
      <c r="P76" s="323"/>
      <c r="Q76" s="323"/>
      <c r="R76" s="171"/>
    </row>
    <row r="77" spans="2:18" ht="15" thickBot="1" x14ac:dyDescent="0.4">
      <c r="C77" s="95"/>
      <c r="D77" s="194"/>
      <c r="E77" s="193"/>
      <c r="F77" s="192" t="s">
        <v>76</v>
      </c>
      <c r="G77" s="191">
        <v>-2257482.6895199995</v>
      </c>
      <c r="H77" s="82"/>
      <c r="I77" s="82"/>
      <c r="J77" s="82"/>
      <c r="K77" s="82"/>
      <c r="L77" s="335" t="s">
        <v>75</v>
      </c>
      <c r="M77" s="81">
        <v>2024</v>
      </c>
      <c r="N77" s="81">
        <v>2025</v>
      </c>
      <c r="O77" s="81">
        <v>2026</v>
      </c>
      <c r="P77" s="81">
        <v>2027</v>
      </c>
      <c r="Q77" s="81">
        <v>2028</v>
      </c>
      <c r="R77" s="171"/>
    </row>
    <row r="78" spans="2:18" x14ac:dyDescent="0.35">
      <c r="C78" s="95"/>
      <c r="D78" s="181"/>
      <c r="E78" s="82"/>
      <c r="F78" s="175" t="s">
        <v>74</v>
      </c>
      <c r="G78" s="186">
        <v>714136.49472000008</v>
      </c>
      <c r="H78" s="82"/>
      <c r="I78" s="337" t="s">
        <v>73</v>
      </c>
      <c r="J78" s="338"/>
      <c r="K78" s="82"/>
      <c r="L78" s="336"/>
      <c r="M78" s="173">
        <v>0</v>
      </c>
      <c r="N78" s="173">
        <v>1</v>
      </c>
      <c r="O78" s="173">
        <v>2</v>
      </c>
      <c r="P78" s="173">
        <v>3</v>
      </c>
      <c r="Q78" s="173">
        <v>4</v>
      </c>
      <c r="R78" s="171"/>
    </row>
    <row r="79" spans="2:18" x14ac:dyDescent="0.35">
      <c r="C79" s="95"/>
      <c r="D79" s="181"/>
      <c r="E79" s="82"/>
      <c r="F79" s="175" t="s">
        <v>72</v>
      </c>
      <c r="G79" s="186">
        <v>1428366.9894400002</v>
      </c>
      <c r="H79" s="82"/>
      <c r="I79" s="190">
        <v>2024</v>
      </c>
      <c r="J79" s="189">
        <v>2025</v>
      </c>
      <c r="K79" s="82"/>
      <c r="L79" s="188" t="s">
        <v>71</v>
      </c>
      <c r="M79" s="187">
        <f>G77+G78+G80</f>
        <v>-1543346.1947999995</v>
      </c>
      <c r="N79" s="187">
        <f>J80</f>
        <v>1428366.9894400002</v>
      </c>
      <c r="O79" s="187">
        <f>N79</f>
        <v>1428366.9894400002</v>
      </c>
      <c r="P79" s="187">
        <f>O79</f>
        <v>1428366.9894400002</v>
      </c>
      <c r="Q79" s="187">
        <f>P79</f>
        <v>1428366.9894400002</v>
      </c>
      <c r="R79" s="171"/>
    </row>
    <row r="80" spans="2:18" ht="15" thickBot="1" x14ac:dyDescent="0.4">
      <c r="C80" s="95"/>
      <c r="D80" s="181"/>
      <c r="E80" s="82"/>
      <c r="F80" s="175" t="s">
        <v>70</v>
      </c>
      <c r="G80" s="186">
        <v>0</v>
      </c>
      <c r="H80" s="82"/>
      <c r="I80" s="185">
        <f>G78+G80</f>
        <v>714136.49472000008</v>
      </c>
      <c r="J80" s="184">
        <f>G79+G81</f>
        <v>1428366.9894400002</v>
      </c>
      <c r="K80" s="82"/>
      <c r="L80" s="183" t="s">
        <v>69</v>
      </c>
      <c r="M80" s="182">
        <f>M79</f>
        <v>-1543346.1947999995</v>
      </c>
      <c r="N80" s="182">
        <f>M80+N79</f>
        <v>-114979.20535999932</v>
      </c>
      <c r="O80" s="182">
        <f>N80+O79</f>
        <v>1313387.7840800008</v>
      </c>
      <c r="P80" s="182">
        <f>O80+P79</f>
        <v>2741754.7735200012</v>
      </c>
      <c r="Q80" s="182">
        <f>P80+Q79</f>
        <v>4170121.7629600014</v>
      </c>
      <c r="R80" s="171"/>
    </row>
    <row r="81" spans="3:18" x14ac:dyDescent="0.35">
      <c r="C81" s="95"/>
      <c r="D81" s="181"/>
      <c r="E81" s="82"/>
      <c r="F81" s="175" t="s">
        <v>68</v>
      </c>
      <c r="G81" s="180">
        <v>0</v>
      </c>
      <c r="H81" s="82"/>
      <c r="I81" s="82"/>
      <c r="J81" s="82"/>
      <c r="K81" s="82"/>
      <c r="L81" s="82"/>
      <c r="M81" s="82"/>
      <c r="N81" s="82"/>
      <c r="O81" s="82"/>
      <c r="P81" s="82"/>
      <c r="Q81" s="82"/>
      <c r="R81" s="171"/>
    </row>
    <row r="82" spans="3:18" ht="15" thickBot="1" x14ac:dyDescent="0.4">
      <c r="C82" s="95"/>
      <c r="D82" s="179"/>
      <c r="E82" s="178"/>
      <c r="F82" s="177" t="s">
        <v>67</v>
      </c>
      <c r="G82" s="176">
        <v>-114979.20535999932</v>
      </c>
      <c r="H82" s="82"/>
      <c r="I82" s="82"/>
      <c r="J82" s="82"/>
      <c r="K82" s="82"/>
      <c r="L82" s="82"/>
      <c r="M82" s="82"/>
      <c r="N82" s="82"/>
      <c r="O82" s="82"/>
      <c r="P82" s="82"/>
      <c r="Q82" s="82"/>
      <c r="R82" s="171"/>
    </row>
    <row r="83" spans="3:18" x14ac:dyDescent="0.35">
      <c r="C83" s="95"/>
      <c r="D83" s="82"/>
      <c r="E83" s="82"/>
      <c r="F83" s="175" t="s">
        <v>66</v>
      </c>
      <c r="G83" s="174">
        <v>12.965963561550055</v>
      </c>
      <c r="H83" s="82"/>
      <c r="I83" s="82"/>
      <c r="J83" s="82"/>
      <c r="K83" s="82"/>
      <c r="L83" s="173" t="s">
        <v>65</v>
      </c>
      <c r="M83" s="173" t="b">
        <f>IF(AND(M80&lt;0,N80&gt;0),M78+ABS(M80/N79))</f>
        <v>0</v>
      </c>
      <c r="N83" s="173">
        <f>IF(AND(N80&lt;0,O80&gt;0),N78+ABS(N80/O79))</f>
        <v>1.0804969634625046</v>
      </c>
      <c r="O83" s="173" t="b">
        <f>IF(AND(O80&lt;0,P80&gt;0),O78+ABS(O80/P79))</f>
        <v>0</v>
      </c>
      <c r="P83" s="173" t="b">
        <f>IF(AND(P80&lt;0,Q80&gt;0),P78+ABS(P80/Q79))</f>
        <v>0</v>
      </c>
      <c r="Q83" s="173" t="b">
        <f>IF(AND(Q80&lt;0,R80&gt;0),Q78+ABS(Q80/R79))</f>
        <v>0</v>
      </c>
      <c r="R83" s="171"/>
    </row>
    <row r="84" spans="3:18" x14ac:dyDescent="0.35">
      <c r="C84" s="95"/>
      <c r="D84" s="82"/>
      <c r="E84" s="82"/>
      <c r="F84" s="82"/>
      <c r="G84" s="82"/>
      <c r="H84" s="82"/>
      <c r="I84" s="82"/>
      <c r="J84" s="82"/>
      <c r="K84" s="82"/>
      <c r="L84" s="172"/>
      <c r="M84" s="172"/>
      <c r="N84" s="172"/>
      <c r="O84" s="172"/>
      <c r="P84" s="172"/>
      <c r="Q84" s="172"/>
      <c r="R84" s="171"/>
    </row>
    <row r="85" spans="3:18" x14ac:dyDescent="0.35">
      <c r="C85" s="95"/>
      <c r="R85" s="171"/>
    </row>
    <row r="86" spans="3:18" x14ac:dyDescent="0.35">
      <c r="C86" s="95"/>
      <c r="R86" s="171"/>
    </row>
    <row r="87" spans="3:18" ht="15" thickBot="1" x14ac:dyDescent="0.4">
      <c r="C87" s="93"/>
      <c r="D87" s="92"/>
      <c r="E87" s="92"/>
      <c r="F87" s="92"/>
      <c r="G87" s="92"/>
      <c r="H87" s="92"/>
      <c r="I87" s="92"/>
      <c r="J87" s="92"/>
      <c r="K87" s="92"/>
      <c r="L87" s="92"/>
      <c r="M87" s="92"/>
      <c r="N87" s="92"/>
      <c r="O87" s="92"/>
      <c r="P87" s="92"/>
      <c r="Q87" s="92"/>
      <c r="R87" s="170"/>
    </row>
  </sheetData>
  <mergeCells count="38">
    <mergeCell ref="B71:K71"/>
    <mergeCell ref="M76:Q76"/>
    <mergeCell ref="L77:L78"/>
    <mergeCell ref="I78:J78"/>
    <mergeCell ref="H63:I63"/>
    <mergeCell ref="H67:I67"/>
    <mergeCell ref="J51:K51"/>
    <mergeCell ref="H52:H53"/>
    <mergeCell ref="I52:I53"/>
    <mergeCell ref="J52:K53"/>
    <mergeCell ref="H54:H55"/>
    <mergeCell ref="I54:I55"/>
    <mergeCell ref="J54:K55"/>
    <mergeCell ref="H56:H57"/>
    <mergeCell ref="I56:I57"/>
    <mergeCell ref="J56:K57"/>
    <mergeCell ref="L61:Q61"/>
    <mergeCell ref="K62:K63"/>
    <mergeCell ref="L45:M45"/>
    <mergeCell ref="L46:M46"/>
    <mergeCell ref="L47:M47"/>
    <mergeCell ref="B50:F50"/>
    <mergeCell ref="H50:K50"/>
    <mergeCell ref="B40:F40"/>
    <mergeCell ref="H40:M40"/>
    <mergeCell ref="L41:M41"/>
    <mergeCell ref="L43:M43"/>
    <mergeCell ref="L44:M44"/>
    <mergeCell ref="B28:F28"/>
    <mergeCell ref="I28:J28"/>
    <mergeCell ref="K29:M29"/>
    <mergeCell ref="K30:M30"/>
    <mergeCell ref="K31:M32"/>
    <mergeCell ref="A2:A3"/>
    <mergeCell ref="D2:G2"/>
    <mergeCell ref="B4:G4"/>
    <mergeCell ref="H4:J4"/>
    <mergeCell ref="O24:R24"/>
  </mergeCells>
  <conditionalFormatting sqref="F67">
    <cfRule type="expression" dxfId="9" priority="7">
      <formula>$F$67&lt;0</formula>
    </cfRule>
    <cfRule type="expression" dxfId="8" priority="8">
      <formula>$F$67&gt;=0</formula>
    </cfRule>
  </conditionalFormatting>
  <conditionalFormatting sqref="F68">
    <cfRule type="expression" dxfId="7" priority="5">
      <formula>$F$57&lt;0</formula>
    </cfRule>
    <cfRule type="expression" dxfId="6" priority="6">
      <formula>$F$57&gt;=0</formula>
    </cfRule>
  </conditionalFormatting>
  <conditionalFormatting sqref="G82">
    <cfRule type="expression" dxfId="5" priority="3">
      <formula>$F$67&lt;0</formula>
    </cfRule>
    <cfRule type="expression" dxfId="4" priority="4">
      <formula>$F$67&gt;=0</formula>
    </cfRule>
  </conditionalFormatting>
  <conditionalFormatting sqref="G83">
    <cfRule type="expression" dxfId="3" priority="1">
      <formula>$F$57&lt;0</formula>
    </cfRule>
    <cfRule type="expression" dxfId="2" priority="2">
      <formula>$F$57&gt;=0</formula>
    </cfRule>
  </conditionalFormatting>
  <pageMargins left="0.7" right="0.7" top="0.75" bottom="0.75" header="0.3" footer="0.3"/>
  <pageSetup orientation="portrait" r:id="rId1"/>
  <headerFooter>
    <oddFooter>&amp;C&amp;"Calibri,Regular"&amp;11&amp;B&amp;K000000AEP CONFIDENTIAL</oddFooter>
    <evenFooter>&amp;C&amp;"Calibri,Regular"&amp;11&amp;B&amp;K000000AEP CONFIDENTIAL</evenFooter>
    <firstFooter>&amp;C&amp;"Calibri,Regular"&amp;11&amp;B&amp;K000000AEP CONFIDENTIAL</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3B2EA-879F-4979-BC75-E5A9B4F5D821}">
  <sheetPr>
    <pageSetUpPr autoPageBreaks="0"/>
  </sheetPr>
  <dimension ref="B2:T105"/>
  <sheetViews>
    <sheetView workbookViewId="0">
      <selection activeCell="G29" sqref="G29"/>
    </sheetView>
  </sheetViews>
  <sheetFormatPr defaultRowHeight="14.5" x14ac:dyDescent="0.35"/>
  <cols>
    <col min="2" max="3" width="10.7265625" customWidth="1"/>
    <col min="4" max="4" width="10.54296875" customWidth="1"/>
    <col min="5" max="5" width="11.453125" customWidth="1"/>
    <col min="6" max="6" width="17.1796875" bestFit="1" customWidth="1"/>
    <col min="7" max="7" width="17" customWidth="1"/>
    <col min="8" max="9" width="12.81640625" customWidth="1"/>
    <col min="10" max="10" width="14.26953125" bestFit="1" customWidth="1"/>
    <col min="11" max="11" width="12.81640625" customWidth="1"/>
    <col min="12" max="15" width="15.7265625" customWidth="1"/>
    <col min="16" max="16" width="4.54296875" customWidth="1"/>
  </cols>
  <sheetData>
    <row r="2" spans="2:20" ht="18.5" x14ac:dyDescent="0.45">
      <c r="C2" s="169" t="s">
        <v>111</v>
      </c>
      <c r="D2" s="289" t="s">
        <v>3</v>
      </c>
      <c r="E2" s="289"/>
      <c r="F2" s="289"/>
      <c r="G2" s="289"/>
    </row>
    <row r="3" spans="2:20" ht="15" thickBot="1" x14ac:dyDescent="0.4"/>
    <row r="4" spans="2:20" ht="15" thickBot="1" x14ac:dyDescent="0.4">
      <c r="B4" s="290" t="s">
        <v>110</v>
      </c>
      <c r="C4" s="291"/>
      <c r="D4" s="291"/>
      <c r="E4" s="291"/>
      <c r="F4" s="291"/>
      <c r="G4" s="291"/>
      <c r="H4" s="292" t="s">
        <v>109</v>
      </c>
      <c r="I4" s="292"/>
      <c r="J4" s="293"/>
      <c r="K4" s="135"/>
    </row>
    <row r="5" spans="2:20" s="164" customFormat="1" ht="31" x14ac:dyDescent="0.35">
      <c r="B5" s="168" t="s">
        <v>108</v>
      </c>
      <c r="C5" s="155" t="s">
        <v>85</v>
      </c>
      <c r="D5" s="155" t="s">
        <v>81</v>
      </c>
      <c r="E5" s="155" t="s">
        <v>98</v>
      </c>
      <c r="F5" s="167" t="s">
        <v>97</v>
      </c>
      <c r="G5" s="155" t="s">
        <v>96</v>
      </c>
      <c r="H5" s="155" t="s">
        <v>85</v>
      </c>
      <c r="I5" s="155" t="s">
        <v>98</v>
      </c>
      <c r="J5" s="273" t="s">
        <v>95</v>
      </c>
      <c r="K5" s="166" t="s">
        <v>107</v>
      </c>
      <c r="L5" s="165" t="s">
        <v>106</v>
      </c>
    </row>
    <row r="6" spans="2:20" x14ac:dyDescent="0.35">
      <c r="B6" s="120" t="s">
        <v>105</v>
      </c>
      <c r="C6" s="119">
        <v>8</v>
      </c>
      <c r="D6" s="119">
        <v>10218</v>
      </c>
      <c r="E6" s="119">
        <v>2</v>
      </c>
      <c r="F6" s="138">
        <v>267176</v>
      </c>
      <c r="G6" s="122">
        <v>267177</v>
      </c>
      <c r="H6" s="119"/>
      <c r="I6" s="119"/>
      <c r="J6" s="362">
        <v>0</v>
      </c>
      <c r="K6" s="161">
        <f t="shared" ref="K6:K20" si="0">F6-J6</f>
        <v>267176</v>
      </c>
      <c r="L6" s="160">
        <f t="shared" ref="L6:L20" si="1">F6/2-J6/4</f>
        <v>133588</v>
      </c>
      <c r="N6">
        <v>6</v>
      </c>
      <c r="O6">
        <f>SUMIF($C$6:$C$6,$N6,$E$6:$E$6)</f>
        <v>0</v>
      </c>
      <c r="Q6">
        <f>SUMIF($H$6:$H$6,$N6,$I$6:$I$6)</f>
        <v>0</v>
      </c>
      <c r="S6">
        <f>SUMIF($B$38:$B$67,$N6,$D$38:$D$67)</f>
        <v>0</v>
      </c>
      <c r="T6">
        <f>-S6</f>
        <v>0</v>
      </c>
    </row>
    <row r="7" spans="2:20" x14ac:dyDescent="0.35">
      <c r="B7" s="120"/>
      <c r="C7" s="119"/>
      <c r="D7" s="119"/>
      <c r="E7" s="119"/>
      <c r="F7" s="138"/>
      <c r="G7" s="122"/>
      <c r="H7" s="119"/>
      <c r="I7" s="119"/>
      <c r="J7" s="362"/>
      <c r="K7" s="161">
        <f t="shared" si="0"/>
        <v>0</v>
      </c>
      <c r="L7" s="160">
        <f t="shared" si="1"/>
        <v>0</v>
      </c>
    </row>
    <row r="8" spans="2:20" x14ac:dyDescent="0.35">
      <c r="B8" s="120"/>
      <c r="C8" s="119"/>
      <c r="D8" s="119"/>
      <c r="E8" s="119"/>
      <c r="F8" s="138"/>
      <c r="G8" s="122"/>
      <c r="H8" s="119"/>
      <c r="I8" s="119"/>
      <c r="J8" s="362"/>
      <c r="K8" s="161">
        <f t="shared" si="0"/>
        <v>0</v>
      </c>
      <c r="L8" s="160">
        <f t="shared" si="1"/>
        <v>0</v>
      </c>
    </row>
    <row r="9" spans="2:20" x14ac:dyDescent="0.35">
      <c r="B9" s="120"/>
      <c r="C9" s="119"/>
      <c r="D9" s="119"/>
      <c r="E9" s="119"/>
      <c r="F9" s="138"/>
      <c r="G9" s="122"/>
      <c r="H9" s="119"/>
      <c r="I9" s="119"/>
      <c r="J9" s="362"/>
      <c r="K9" s="161">
        <f t="shared" si="0"/>
        <v>0</v>
      </c>
      <c r="L9" s="160">
        <f t="shared" si="1"/>
        <v>0</v>
      </c>
    </row>
    <row r="10" spans="2:20" x14ac:dyDescent="0.35">
      <c r="B10" s="120"/>
      <c r="C10" s="119"/>
      <c r="D10" s="119"/>
      <c r="E10" s="119"/>
      <c r="F10" s="138"/>
      <c r="G10" s="122"/>
      <c r="H10" s="119"/>
      <c r="I10" s="119"/>
      <c r="J10" s="362"/>
      <c r="K10" s="161">
        <f t="shared" si="0"/>
        <v>0</v>
      </c>
      <c r="L10" s="160">
        <f t="shared" si="1"/>
        <v>0</v>
      </c>
    </row>
    <row r="11" spans="2:20" x14ac:dyDescent="0.35">
      <c r="B11" s="120"/>
      <c r="C11" s="119"/>
      <c r="D11" s="119"/>
      <c r="E11" s="119"/>
      <c r="F11" s="138"/>
      <c r="G11" s="122"/>
      <c r="H11" s="119"/>
      <c r="I11" s="119"/>
      <c r="J11" s="362"/>
      <c r="K11" s="161">
        <f t="shared" si="0"/>
        <v>0</v>
      </c>
      <c r="L11" s="160">
        <f t="shared" si="1"/>
        <v>0</v>
      </c>
    </row>
    <row r="12" spans="2:20" x14ac:dyDescent="0.35">
      <c r="B12" s="120"/>
      <c r="C12" s="119"/>
      <c r="D12" s="119"/>
      <c r="E12" s="119"/>
      <c r="F12" s="138"/>
      <c r="G12" s="122"/>
      <c r="H12" s="119"/>
      <c r="I12" s="119"/>
      <c r="J12" s="362"/>
      <c r="K12" s="161">
        <f t="shared" si="0"/>
        <v>0</v>
      </c>
      <c r="L12" s="160">
        <f t="shared" si="1"/>
        <v>0</v>
      </c>
    </row>
    <row r="13" spans="2:20" x14ac:dyDescent="0.35">
      <c r="B13" s="120"/>
      <c r="C13" s="119"/>
      <c r="D13" s="119"/>
      <c r="E13" s="119"/>
      <c r="F13" s="138"/>
      <c r="G13" s="122"/>
      <c r="H13" s="119"/>
      <c r="I13" s="119"/>
      <c r="J13" s="362"/>
      <c r="K13" s="161">
        <f t="shared" si="0"/>
        <v>0</v>
      </c>
      <c r="L13" s="160">
        <f t="shared" si="1"/>
        <v>0</v>
      </c>
    </row>
    <row r="14" spans="2:20" x14ac:dyDescent="0.35">
      <c r="B14" s="120"/>
      <c r="C14" s="119"/>
      <c r="D14" s="119"/>
      <c r="E14" s="119"/>
      <c r="F14" s="138"/>
      <c r="G14" s="122"/>
      <c r="H14" s="119"/>
      <c r="I14" s="119"/>
      <c r="J14" s="362"/>
      <c r="K14" s="161">
        <f t="shared" si="0"/>
        <v>0</v>
      </c>
      <c r="L14" s="160">
        <f t="shared" si="1"/>
        <v>0</v>
      </c>
    </row>
    <row r="15" spans="2:20" x14ac:dyDescent="0.35">
      <c r="B15" s="120"/>
      <c r="C15" s="119"/>
      <c r="D15" s="119"/>
      <c r="E15" s="119"/>
      <c r="F15" s="138"/>
      <c r="G15" s="122"/>
      <c r="H15" s="119"/>
      <c r="I15" s="119"/>
      <c r="J15" s="362"/>
      <c r="K15" s="161">
        <f t="shared" si="0"/>
        <v>0</v>
      </c>
      <c r="L15" s="160">
        <f t="shared" si="1"/>
        <v>0</v>
      </c>
    </row>
    <row r="16" spans="2:20" x14ac:dyDescent="0.35">
      <c r="B16" s="120"/>
      <c r="C16" s="119"/>
      <c r="D16" s="119"/>
      <c r="E16" s="119"/>
      <c r="F16" s="138"/>
      <c r="G16" s="122"/>
      <c r="H16" s="119"/>
      <c r="I16" s="119"/>
      <c r="J16" s="362"/>
      <c r="K16" s="161">
        <f t="shared" si="0"/>
        <v>0</v>
      </c>
      <c r="L16" s="160">
        <f t="shared" si="1"/>
        <v>0</v>
      </c>
    </row>
    <row r="17" spans="2:14" x14ac:dyDescent="0.35">
      <c r="B17" s="120"/>
      <c r="C17" s="119"/>
      <c r="D17" s="119"/>
      <c r="E17" s="119"/>
      <c r="F17" s="138"/>
      <c r="G17" s="122"/>
      <c r="H17" s="119"/>
      <c r="I17" s="119"/>
      <c r="J17" s="362"/>
      <c r="K17" s="161">
        <f t="shared" si="0"/>
        <v>0</v>
      </c>
      <c r="L17" s="160">
        <f t="shared" si="1"/>
        <v>0</v>
      </c>
    </row>
    <row r="18" spans="2:14" x14ac:dyDescent="0.35">
      <c r="B18" s="120"/>
      <c r="C18" s="119"/>
      <c r="D18" s="119"/>
      <c r="E18" s="119"/>
      <c r="F18" s="138"/>
      <c r="G18" s="122"/>
      <c r="H18" s="119"/>
      <c r="I18" s="119"/>
      <c r="J18" s="362"/>
      <c r="K18" s="161">
        <f t="shared" si="0"/>
        <v>0</v>
      </c>
      <c r="L18" s="160">
        <f t="shared" si="1"/>
        <v>0</v>
      </c>
    </row>
    <row r="19" spans="2:14" x14ac:dyDescent="0.35">
      <c r="B19" s="120"/>
      <c r="C19" s="119"/>
      <c r="D19" s="119"/>
      <c r="E19" s="119"/>
      <c r="F19" s="138"/>
      <c r="G19" s="122"/>
      <c r="H19" s="119"/>
      <c r="I19" s="119"/>
      <c r="J19" s="362"/>
      <c r="K19" s="161">
        <f t="shared" si="0"/>
        <v>0</v>
      </c>
      <c r="L19" s="160">
        <f t="shared" si="1"/>
        <v>0</v>
      </c>
    </row>
    <row r="20" spans="2:14" ht="15" thickBot="1" x14ac:dyDescent="0.4">
      <c r="B20" s="115"/>
      <c r="C20" s="114"/>
      <c r="D20" s="114"/>
      <c r="E20" s="114"/>
      <c r="F20" s="163"/>
      <c r="G20" s="162"/>
      <c r="H20" s="114"/>
      <c r="I20" s="114"/>
      <c r="J20" s="363"/>
      <c r="K20" s="161">
        <f t="shared" si="0"/>
        <v>0</v>
      </c>
      <c r="L20" s="160">
        <f t="shared" si="1"/>
        <v>0</v>
      </c>
    </row>
    <row r="21" spans="2:14" x14ac:dyDescent="0.35">
      <c r="B21" s="135" t="s">
        <v>104</v>
      </c>
      <c r="C21" s="135"/>
      <c r="D21" s="135"/>
      <c r="E21" s="135">
        <f>SUM(E6:E20)</f>
        <v>2</v>
      </c>
      <c r="F21" s="159">
        <f>SUM(F6:F20)</f>
        <v>267176</v>
      </c>
      <c r="G21" s="110">
        <f>SUM(G6:G20)</f>
        <v>267177</v>
      </c>
      <c r="H21" s="135"/>
      <c r="I21" s="135">
        <f>SUM(I6:I20)</f>
        <v>0</v>
      </c>
      <c r="J21" s="364">
        <f>SUM(J6:J20)</f>
        <v>0</v>
      </c>
      <c r="K21" s="147">
        <f>SUM(K6:K20)</f>
        <v>267176</v>
      </c>
      <c r="L21" s="147">
        <f>SUM(L6:L20)</f>
        <v>133588</v>
      </c>
      <c r="N21" s="121"/>
    </row>
    <row r="22" spans="2:14" x14ac:dyDescent="0.35">
      <c r="F22" s="158" t="s">
        <v>103</v>
      </c>
      <c r="G22" s="158"/>
      <c r="H22" s="158"/>
      <c r="I22" s="158"/>
      <c r="J22" s="158" t="s">
        <v>102</v>
      </c>
      <c r="K22" s="158" t="s">
        <v>101</v>
      </c>
      <c r="L22" s="135"/>
      <c r="M22" s="135"/>
      <c r="N22" s="135"/>
    </row>
    <row r="23" spans="2:14" ht="15" thickBot="1" x14ac:dyDescent="0.4">
      <c r="F23" s="158"/>
      <c r="G23" s="158"/>
      <c r="H23" s="158"/>
      <c r="I23" s="158"/>
      <c r="J23" s="158"/>
      <c r="K23" s="157"/>
    </row>
    <row r="24" spans="2:14" ht="15" thickBot="1" x14ac:dyDescent="0.4">
      <c r="B24" s="296" t="s">
        <v>100</v>
      </c>
      <c r="C24" s="297"/>
      <c r="D24" s="297"/>
      <c r="E24" s="297"/>
      <c r="F24" s="298"/>
      <c r="I24" s="296" t="s">
        <v>99</v>
      </c>
      <c r="J24" s="298"/>
      <c r="K24" s="156"/>
    </row>
    <row r="25" spans="2:14" ht="46" thickBot="1" x14ac:dyDescent="0.4">
      <c r="B25" s="132" t="s">
        <v>85</v>
      </c>
      <c r="C25" s="133" t="s">
        <v>81</v>
      </c>
      <c r="D25" s="133" t="s">
        <v>98</v>
      </c>
      <c r="E25" s="155" t="s">
        <v>97</v>
      </c>
      <c r="F25" s="154" t="s">
        <v>96</v>
      </c>
      <c r="I25" s="132" t="s">
        <v>85</v>
      </c>
      <c r="J25" s="154" t="s">
        <v>95</v>
      </c>
    </row>
    <row r="26" spans="2:14" x14ac:dyDescent="0.35">
      <c r="B26" s="131"/>
      <c r="C26" s="130"/>
      <c r="D26" s="130"/>
      <c r="E26" s="129"/>
      <c r="F26" s="153">
        <f>E26</f>
        <v>0</v>
      </c>
      <c r="I26" s="128">
        <v>12</v>
      </c>
      <c r="J26" s="152">
        <v>215000</v>
      </c>
    </row>
    <row r="27" spans="2:14" x14ac:dyDescent="0.35">
      <c r="B27" s="120"/>
      <c r="C27" s="119"/>
      <c r="D27" s="119"/>
      <c r="E27" s="122"/>
      <c r="F27" s="150"/>
      <c r="I27" s="120">
        <v>11</v>
      </c>
      <c r="J27" s="150">
        <v>185000</v>
      </c>
    </row>
    <row r="28" spans="2:14" x14ac:dyDescent="0.35">
      <c r="B28" s="120"/>
      <c r="C28" s="119"/>
      <c r="D28" s="119"/>
      <c r="E28" s="122"/>
      <c r="F28" s="150"/>
      <c r="I28" s="120">
        <v>10</v>
      </c>
      <c r="J28" s="150">
        <v>156000</v>
      </c>
    </row>
    <row r="29" spans="2:14" x14ac:dyDescent="0.35">
      <c r="B29" s="120"/>
      <c r="C29" s="119"/>
      <c r="D29" s="119"/>
      <c r="E29" s="122"/>
      <c r="F29" s="150"/>
      <c r="I29" s="120">
        <v>9</v>
      </c>
      <c r="J29" s="150">
        <v>133000</v>
      </c>
    </row>
    <row r="30" spans="2:14" x14ac:dyDescent="0.35">
      <c r="B30" s="120"/>
      <c r="C30" s="119"/>
      <c r="D30" s="119"/>
      <c r="E30" s="119"/>
      <c r="F30" s="151"/>
      <c r="I30" s="120">
        <v>8</v>
      </c>
      <c r="J30" s="150">
        <v>113000</v>
      </c>
    </row>
    <row r="31" spans="2:14" x14ac:dyDescent="0.35">
      <c r="B31" s="120"/>
      <c r="C31" s="119"/>
      <c r="D31" s="119"/>
      <c r="E31" s="119"/>
      <c r="F31" s="151"/>
      <c r="I31" s="120">
        <v>7</v>
      </c>
      <c r="J31" s="150">
        <v>97000</v>
      </c>
    </row>
    <row r="32" spans="2:14" x14ac:dyDescent="0.35">
      <c r="B32" s="120"/>
      <c r="C32" s="119"/>
      <c r="D32" s="119"/>
      <c r="E32" s="119"/>
      <c r="F32" s="151"/>
      <c r="I32" s="120">
        <v>6</v>
      </c>
      <c r="J32" s="150">
        <v>83000</v>
      </c>
    </row>
    <row r="33" spans="2:13" ht="15" thickBot="1" x14ac:dyDescent="0.4">
      <c r="B33" s="115"/>
      <c r="C33" s="114"/>
      <c r="D33" s="114"/>
      <c r="E33" s="114"/>
      <c r="F33" s="149"/>
      <c r="I33" s="115">
        <v>5</v>
      </c>
      <c r="J33" s="148">
        <v>71000</v>
      </c>
    </row>
    <row r="34" spans="2:13" x14ac:dyDescent="0.35">
      <c r="B34" s="135" t="s">
        <v>94</v>
      </c>
      <c r="D34" s="135">
        <f>SUM(D25:D33)</f>
        <v>0</v>
      </c>
      <c r="E34" s="147">
        <f>SUM(E25:E33)</f>
        <v>0</v>
      </c>
      <c r="F34" s="147">
        <f>SUM(F25:F33)</f>
        <v>0</v>
      </c>
    </row>
    <row r="35" spans="2:13" ht="15" thickBot="1" x14ac:dyDescent="0.4"/>
    <row r="36" spans="2:13" ht="15" thickBot="1" x14ac:dyDescent="0.4">
      <c r="B36" s="296" t="s">
        <v>93</v>
      </c>
      <c r="C36" s="297"/>
      <c r="D36" s="297"/>
      <c r="E36" s="297"/>
      <c r="F36" s="298"/>
      <c r="H36" s="296" t="s">
        <v>92</v>
      </c>
      <c r="I36" s="297"/>
      <c r="J36" s="297"/>
      <c r="K36" s="297"/>
      <c r="L36" s="297"/>
      <c r="M36" s="298"/>
    </row>
    <row r="37" spans="2:13" ht="46" thickBot="1" x14ac:dyDescent="0.4">
      <c r="B37" s="132" t="s">
        <v>85</v>
      </c>
      <c r="C37" s="133" t="s">
        <v>81</v>
      </c>
      <c r="D37" s="133" t="s">
        <v>91</v>
      </c>
      <c r="E37" s="146" t="s">
        <v>90</v>
      </c>
      <c r="F37" s="145" t="s">
        <v>89</v>
      </c>
      <c r="H37" s="144" t="s">
        <v>81</v>
      </c>
      <c r="I37" s="133" t="s">
        <v>88</v>
      </c>
      <c r="J37" s="133" t="s">
        <v>83</v>
      </c>
      <c r="K37" s="279" t="s">
        <v>82</v>
      </c>
      <c r="L37" s="343" t="s">
        <v>79</v>
      </c>
      <c r="M37" s="310"/>
    </row>
    <row r="38" spans="2:13" ht="15" customHeight="1" x14ac:dyDescent="0.35">
      <c r="B38" s="131"/>
      <c r="C38" s="130"/>
      <c r="D38" s="130"/>
      <c r="E38" s="129"/>
      <c r="F38" s="143"/>
      <c r="H38" s="142"/>
      <c r="I38" s="130"/>
      <c r="J38" s="129"/>
      <c r="K38" s="365">
        <f t="shared" ref="K38:K69" si="2">ROUND(J38/52*I38,-2)</f>
        <v>0</v>
      </c>
      <c r="L38" s="344"/>
      <c r="M38" s="345"/>
    </row>
    <row r="39" spans="2:13" ht="15" customHeight="1" x14ac:dyDescent="0.35">
      <c r="B39" s="128"/>
      <c r="C39" s="127"/>
      <c r="D39" s="127"/>
      <c r="E39" s="126"/>
      <c r="F39" s="141"/>
      <c r="H39" s="128"/>
      <c r="I39" s="127"/>
      <c r="J39" s="126"/>
      <c r="K39" s="366">
        <f t="shared" si="2"/>
        <v>0</v>
      </c>
      <c r="L39" s="140"/>
      <c r="M39" s="139"/>
    </row>
    <row r="40" spans="2:13" ht="15" customHeight="1" x14ac:dyDescent="0.35">
      <c r="B40" s="128"/>
      <c r="C40" s="127"/>
      <c r="D40" s="127"/>
      <c r="E40" s="126"/>
      <c r="F40" s="141"/>
      <c r="G40" s="121"/>
      <c r="H40" s="128"/>
      <c r="I40" s="127"/>
      <c r="J40" s="126"/>
      <c r="K40" s="366">
        <f t="shared" si="2"/>
        <v>0</v>
      </c>
      <c r="L40" s="140"/>
      <c r="M40" s="139"/>
    </row>
    <row r="41" spans="2:13" ht="15" customHeight="1" x14ac:dyDescent="0.35">
      <c r="B41" s="128"/>
      <c r="C41" s="127"/>
      <c r="D41" s="127"/>
      <c r="E41" s="126"/>
      <c r="F41" s="141"/>
      <c r="H41" s="142"/>
      <c r="I41" s="127"/>
      <c r="J41" s="126"/>
      <c r="K41" s="366">
        <f t="shared" si="2"/>
        <v>0</v>
      </c>
      <c r="L41" s="140"/>
      <c r="M41" s="139"/>
    </row>
    <row r="42" spans="2:13" ht="15" customHeight="1" x14ac:dyDescent="0.35">
      <c r="B42" s="128"/>
      <c r="C42" s="127"/>
      <c r="D42" s="127"/>
      <c r="E42" s="126"/>
      <c r="F42" s="141"/>
      <c r="H42" s="128"/>
      <c r="I42" s="127"/>
      <c r="J42" s="126"/>
      <c r="K42" s="366">
        <f t="shared" si="2"/>
        <v>0</v>
      </c>
      <c r="L42" s="140"/>
      <c r="M42" s="139"/>
    </row>
    <row r="43" spans="2:13" ht="15" customHeight="1" x14ac:dyDescent="0.35">
      <c r="B43" s="128"/>
      <c r="C43" s="127"/>
      <c r="D43" s="127"/>
      <c r="E43" s="126"/>
      <c r="F43" s="141"/>
      <c r="H43" s="128"/>
      <c r="I43" s="127"/>
      <c r="J43" s="126"/>
      <c r="K43" s="366">
        <f t="shared" si="2"/>
        <v>0</v>
      </c>
      <c r="L43" s="140"/>
      <c r="M43" s="139"/>
    </row>
    <row r="44" spans="2:13" ht="15" customHeight="1" x14ac:dyDescent="0.35">
      <c r="B44" s="128"/>
      <c r="C44" s="127"/>
      <c r="D44" s="127"/>
      <c r="E44" s="126"/>
      <c r="F44" s="141"/>
      <c r="G44" s="121"/>
      <c r="H44" s="128"/>
      <c r="I44" s="127"/>
      <c r="J44" s="126"/>
      <c r="K44" s="366">
        <f t="shared" si="2"/>
        <v>0</v>
      </c>
      <c r="L44" s="140"/>
      <c r="M44" s="139"/>
    </row>
    <row r="45" spans="2:13" ht="15" customHeight="1" x14ac:dyDescent="0.35">
      <c r="B45" s="128"/>
      <c r="C45" s="127"/>
      <c r="D45" s="127"/>
      <c r="E45" s="126"/>
      <c r="F45" s="141"/>
      <c r="H45" s="128"/>
      <c r="I45" s="127"/>
      <c r="J45" s="126"/>
      <c r="K45" s="366">
        <f t="shared" si="2"/>
        <v>0</v>
      </c>
      <c r="L45" s="140"/>
      <c r="M45" s="139"/>
    </row>
    <row r="46" spans="2:13" ht="15" customHeight="1" x14ac:dyDescent="0.35">
      <c r="B46" s="128"/>
      <c r="C46" s="127"/>
      <c r="D46" s="127"/>
      <c r="E46" s="126"/>
      <c r="F46" s="141"/>
      <c r="H46" s="142"/>
      <c r="I46" s="127"/>
      <c r="J46" s="126"/>
      <c r="K46" s="366">
        <f t="shared" si="2"/>
        <v>0</v>
      </c>
      <c r="L46" s="140"/>
      <c r="M46" s="139"/>
    </row>
    <row r="47" spans="2:13" ht="15" customHeight="1" x14ac:dyDescent="0.35">
      <c r="B47" s="128"/>
      <c r="C47" s="127"/>
      <c r="D47" s="127"/>
      <c r="E47" s="126"/>
      <c r="F47" s="141"/>
      <c r="H47" s="128"/>
      <c r="I47" s="127"/>
      <c r="J47" s="126"/>
      <c r="K47" s="366">
        <f t="shared" si="2"/>
        <v>0</v>
      </c>
      <c r="L47" s="140"/>
      <c r="M47" s="139"/>
    </row>
    <row r="48" spans="2:13" ht="15" customHeight="1" x14ac:dyDescent="0.35">
      <c r="B48" s="128"/>
      <c r="C48" s="127"/>
      <c r="D48" s="127"/>
      <c r="E48" s="126"/>
      <c r="F48" s="141"/>
      <c r="H48" s="142"/>
      <c r="I48" s="127"/>
      <c r="J48" s="126"/>
      <c r="K48" s="366">
        <f t="shared" si="2"/>
        <v>0</v>
      </c>
      <c r="L48" s="140"/>
      <c r="M48" s="139"/>
    </row>
    <row r="49" spans="2:13" ht="15" customHeight="1" x14ac:dyDescent="0.35">
      <c r="B49" s="128"/>
      <c r="C49" s="127"/>
      <c r="D49" s="127"/>
      <c r="E49" s="126"/>
      <c r="F49" s="141"/>
      <c r="G49" s="121"/>
      <c r="H49" s="142"/>
      <c r="I49" s="127"/>
      <c r="J49" s="126"/>
      <c r="K49" s="366">
        <f t="shared" si="2"/>
        <v>0</v>
      </c>
      <c r="L49" s="140"/>
      <c r="M49" s="139"/>
    </row>
    <row r="50" spans="2:13" ht="15" customHeight="1" x14ac:dyDescent="0.35">
      <c r="B50" s="128"/>
      <c r="C50" s="127"/>
      <c r="D50" s="127"/>
      <c r="E50" s="126"/>
      <c r="F50" s="141"/>
      <c r="G50" s="121"/>
      <c r="H50" s="128"/>
      <c r="I50" s="127"/>
      <c r="J50" s="126"/>
      <c r="K50" s="366">
        <f t="shared" si="2"/>
        <v>0</v>
      </c>
      <c r="L50" s="140"/>
      <c r="M50" s="139"/>
    </row>
    <row r="51" spans="2:13" ht="15" customHeight="1" x14ac:dyDescent="0.35">
      <c r="B51" s="128"/>
      <c r="C51" s="127"/>
      <c r="D51" s="127"/>
      <c r="E51" s="126"/>
      <c r="F51" s="141"/>
      <c r="H51" s="128"/>
      <c r="I51" s="127"/>
      <c r="J51" s="126"/>
      <c r="K51" s="366">
        <f t="shared" si="2"/>
        <v>0</v>
      </c>
      <c r="L51" s="140"/>
      <c r="M51" s="139"/>
    </row>
    <row r="52" spans="2:13" ht="15" customHeight="1" x14ac:dyDescent="0.35">
      <c r="B52" s="128"/>
      <c r="C52" s="127"/>
      <c r="D52" s="127"/>
      <c r="E52" s="126"/>
      <c r="F52" s="141"/>
      <c r="H52" s="142"/>
      <c r="I52" s="127"/>
      <c r="J52" s="126"/>
      <c r="K52" s="366">
        <f t="shared" si="2"/>
        <v>0</v>
      </c>
      <c r="L52" s="140"/>
      <c r="M52" s="139"/>
    </row>
    <row r="53" spans="2:13" ht="15" customHeight="1" x14ac:dyDescent="0.35">
      <c r="B53" s="128"/>
      <c r="C53" s="127"/>
      <c r="D53" s="127"/>
      <c r="E53" s="126"/>
      <c r="F53" s="141"/>
      <c r="H53" s="142"/>
      <c r="I53" s="127"/>
      <c r="J53" s="126"/>
      <c r="K53" s="366">
        <f t="shared" si="2"/>
        <v>0</v>
      </c>
      <c r="L53" s="140"/>
      <c r="M53" s="139"/>
    </row>
    <row r="54" spans="2:13" ht="15" customHeight="1" x14ac:dyDescent="0.35">
      <c r="B54" s="128"/>
      <c r="C54" s="127"/>
      <c r="D54" s="127"/>
      <c r="E54" s="126"/>
      <c r="F54" s="141"/>
      <c r="H54" s="142"/>
      <c r="I54" s="127"/>
      <c r="J54" s="126"/>
      <c r="K54" s="366">
        <f t="shared" si="2"/>
        <v>0</v>
      </c>
      <c r="L54" s="140"/>
      <c r="M54" s="139"/>
    </row>
    <row r="55" spans="2:13" ht="15" customHeight="1" x14ac:dyDescent="0.35">
      <c r="B55" s="128"/>
      <c r="C55" s="127"/>
      <c r="D55" s="127"/>
      <c r="E55" s="126"/>
      <c r="F55" s="141"/>
      <c r="H55" s="128"/>
      <c r="I55" s="127"/>
      <c r="J55" s="126"/>
      <c r="K55" s="366">
        <f t="shared" si="2"/>
        <v>0</v>
      </c>
      <c r="L55" s="140"/>
      <c r="M55" s="139"/>
    </row>
    <row r="56" spans="2:13" ht="15" customHeight="1" x14ac:dyDescent="0.35">
      <c r="B56" s="128"/>
      <c r="C56" s="127"/>
      <c r="D56" s="127"/>
      <c r="E56" s="126"/>
      <c r="F56" s="141"/>
      <c r="H56" s="142"/>
      <c r="I56" s="127"/>
      <c r="J56" s="126"/>
      <c r="K56" s="366">
        <f t="shared" si="2"/>
        <v>0</v>
      </c>
      <c r="L56" s="140"/>
      <c r="M56" s="139"/>
    </row>
    <row r="57" spans="2:13" ht="15" customHeight="1" x14ac:dyDescent="0.35">
      <c r="B57" s="128"/>
      <c r="C57" s="127"/>
      <c r="D57" s="127"/>
      <c r="E57" s="126"/>
      <c r="F57" s="141"/>
      <c r="G57" s="121"/>
      <c r="H57" s="128"/>
      <c r="I57" s="127"/>
      <c r="J57" s="126"/>
      <c r="K57" s="366">
        <f t="shared" si="2"/>
        <v>0</v>
      </c>
      <c r="L57" s="140"/>
      <c r="M57" s="139"/>
    </row>
    <row r="58" spans="2:13" ht="15" customHeight="1" x14ac:dyDescent="0.35">
      <c r="B58" s="128"/>
      <c r="C58" s="127"/>
      <c r="D58" s="127"/>
      <c r="E58" s="126"/>
      <c r="F58" s="141"/>
      <c r="H58" s="128"/>
      <c r="I58" s="127"/>
      <c r="J58" s="126"/>
      <c r="K58" s="366">
        <f t="shared" si="2"/>
        <v>0</v>
      </c>
      <c r="L58" s="140"/>
      <c r="M58" s="139"/>
    </row>
    <row r="59" spans="2:13" ht="15" customHeight="1" x14ac:dyDescent="0.35">
      <c r="B59" s="128"/>
      <c r="C59" s="127"/>
      <c r="D59" s="127"/>
      <c r="E59" s="126"/>
      <c r="F59" s="141"/>
      <c r="H59" s="128"/>
      <c r="I59" s="127"/>
      <c r="J59" s="126"/>
      <c r="K59" s="366">
        <f t="shared" si="2"/>
        <v>0</v>
      </c>
      <c r="L59" s="140"/>
      <c r="M59" s="139"/>
    </row>
    <row r="60" spans="2:13" ht="15" customHeight="1" x14ac:dyDescent="0.35">
      <c r="B60" s="128"/>
      <c r="C60" s="127"/>
      <c r="D60" s="127"/>
      <c r="E60" s="126"/>
      <c r="F60" s="141"/>
      <c r="H60" s="128"/>
      <c r="I60" s="127"/>
      <c r="J60" s="126"/>
      <c r="K60" s="366">
        <f t="shared" si="2"/>
        <v>0</v>
      </c>
      <c r="L60" s="140"/>
      <c r="M60" s="139"/>
    </row>
    <row r="61" spans="2:13" ht="15" customHeight="1" x14ac:dyDescent="0.35">
      <c r="B61" s="128"/>
      <c r="C61" s="127"/>
      <c r="D61" s="127"/>
      <c r="E61" s="126"/>
      <c r="F61" s="141"/>
      <c r="H61" s="128"/>
      <c r="I61" s="127"/>
      <c r="J61" s="126"/>
      <c r="K61" s="366">
        <f t="shared" si="2"/>
        <v>0</v>
      </c>
      <c r="L61" s="140"/>
      <c r="M61" s="139"/>
    </row>
    <row r="62" spans="2:13" ht="15" customHeight="1" x14ac:dyDescent="0.35">
      <c r="B62" s="128"/>
      <c r="C62" s="127"/>
      <c r="D62" s="127"/>
      <c r="E62" s="126"/>
      <c r="F62" s="141"/>
      <c r="H62" s="128"/>
      <c r="I62" s="127"/>
      <c r="J62" s="126"/>
      <c r="K62" s="366">
        <f t="shared" si="2"/>
        <v>0</v>
      </c>
      <c r="L62" s="140"/>
      <c r="M62" s="139"/>
    </row>
    <row r="63" spans="2:13" ht="15" customHeight="1" x14ac:dyDescent="0.35">
      <c r="B63" s="128"/>
      <c r="C63" s="127"/>
      <c r="D63" s="127"/>
      <c r="E63" s="126"/>
      <c r="F63" s="141"/>
      <c r="H63" s="128"/>
      <c r="I63" s="127"/>
      <c r="J63" s="126"/>
      <c r="K63" s="366">
        <f t="shared" si="2"/>
        <v>0</v>
      </c>
      <c r="L63" s="140"/>
      <c r="M63" s="139"/>
    </row>
    <row r="64" spans="2:13" ht="15" customHeight="1" x14ac:dyDescent="0.35">
      <c r="B64" s="128"/>
      <c r="C64" s="127"/>
      <c r="D64" s="127"/>
      <c r="E64" s="126"/>
      <c r="F64" s="141"/>
      <c r="H64" s="128"/>
      <c r="I64" s="127"/>
      <c r="J64" s="126"/>
      <c r="K64" s="366">
        <f t="shared" si="2"/>
        <v>0</v>
      </c>
      <c r="L64" s="140"/>
      <c r="M64" s="139"/>
    </row>
    <row r="65" spans="2:13" x14ac:dyDescent="0.35">
      <c r="B65" s="120"/>
      <c r="C65" s="119"/>
      <c r="D65" s="119"/>
      <c r="E65" s="122"/>
      <c r="F65" s="137"/>
      <c r="H65" s="120"/>
      <c r="I65" s="119"/>
      <c r="J65" s="122"/>
      <c r="K65" s="362">
        <f t="shared" si="2"/>
        <v>0</v>
      </c>
      <c r="L65" s="311"/>
      <c r="M65" s="312"/>
    </row>
    <row r="66" spans="2:13" x14ac:dyDescent="0.35">
      <c r="B66" s="120"/>
      <c r="C66" s="119"/>
      <c r="D66" s="119"/>
      <c r="E66" s="122"/>
      <c r="F66" s="138"/>
      <c r="H66" s="120"/>
      <c r="I66" s="119"/>
      <c r="J66" s="122"/>
      <c r="K66" s="362">
        <f t="shared" si="2"/>
        <v>0</v>
      </c>
      <c r="L66" s="311"/>
      <c r="M66" s="312"/>
    </row>
    <row r="67" spans="2:13" x14ac:dyDescent="0.35">
      <c r="B67" s="120"/>
      <c r="C67" s="119"/>
      <c r="D67" s="119"/>
      <c r="E67" s="122"/>
      <c r="F67" s="137"/>
      <c r="H67" s="120"/>
      <c r="I67" s="119"/>
      <c r="J67" s="122"/>
      <c r="K67" s="362">
        <f t="shared" si="2"/>
        <v>0</v>
      </c>
      <c r="L67" s="311"/>
      <c r="M67" s="312"/>
    </row>
    <row r="68" spans="2:13" x14ac:dyDescent="0.35">
      <c r="B68" s="120"/>
      <c r="C68" s="119"/>
      <c r="D68" s="119"/>
      <c r="E68" s="119"/>
      <c r="F68" s="137">
        <f>E68*0.5</f>
        <v>0</v>
      </c>
      <c r="H68" s="120"/>
      <c r="I68" s="119"/>
      <c r="J68" s="119"/>
      <c r="K68" s="362">
        <f t="shared" si="2"/>
        <v>0</v>
      </c>
      <c r="L68" s="311"/>
      <c r="M68" s="312"/>
    </row>
    <row r="69" spans="2:13" ht="15" thickBot="1" x14ac:dyDescent="0.4">
      <c r="B69" s="115"/>
      <c r="C69" s="114"/>
      <c r="D69" s="114"/>
      <c r="E69" s="114"/>
      <c r="F69" s="136">
        <f>E69*0.5</f>
        <v>0</v>
      </c>
      <c r="H69" s="115"/>
      <c r="I69" s="114"/>
      <c r="J69" s="114"/>
      <c r="K69" s="363">
        <f t="shared" si="2"/>
        <v>0</v>
      </c>
      <c r="L69" s="313"/>
      <c r="M69" s="314"/>
    </row>
    <row r="70" spans="2:13" x14ac:dyDescent="0.35">
      <c r="D70" s="135">
        <f>SUM(D38:D69)</f>
        <v>0</v>
      </c>
      <c r="E70" s="110">
        <f>SUM(E38:E69)</f>
        <v>0</v>
      </c>
      <c r="F70" s="134">
        <f>SUM(F38:F69)</f>
        <v>0</v>
      </c>
      <c r="I70" s="110"/>
      <c r="J70" s="110">
        <f>SUM(J38:J69)</f>
        <v>0</v>
      </c>
      <c r="K70" s="281">
        <f>SUM(K38:K69)</f>
        <v>0</v>
      </c>
    </row>
    <row r="71" spans="2:13" ht="15" thickBot="1" x14ac:dyDescent="0.4">
      <c r="F71" s="110"/>
      <c r="I71" s="110"/>
    </row>
    <row r="72" spans="2:13" ht="15" thickBot="1" x14ac:dyDescent="0.4">
      <c r="B72" s="296" t="s">
        <v>87</v>
      </c>
      <c r="C72" s="297"/>
      <c r="D72" s="297"/>
      <c r="E72" s="297"/>
      <c r="F72" s="298"/>
      <c r="H72" s="296" t="s">
        <v>86</v>
      </c>
      <c r="I72" s="297"/>
      <c r="J72" s="297"/>
      <c r="K72" s="298"/>
    </row>
    <row r="73" spans="2:13" ht="31.5" thickBot="1" x14ac:dyDescent="0.4">
      <c r="B73" s="132" t="s">
        <v>85</v>
      </c>
      <c r="C73" s="133" t="s">
        <v>81</v>
      </c>
      <c r="D73" s="133" t="s">
        <v>84</v>
      </c>
      <c r="E73" s="133" t="s">
        <v>83</v>
      </c>
      <c r="F73" s="279" t="s">
        <v>82</v>
      </c>
      <c r="H73" s="132" t="s">
        <v>81</v>
      </c>
      <c r="I73" s="282" t="s">
        <v>80</v>
      </c>
      <c r="J73" s="326" t="s">
        <v>79</v>
      </c>
      <c r="K73" s="327"/>
    </row>
    <row r="74" spans="2:13" x14ac:dyDescent="0.35">
      <c r="B74" s="131"/>
      <c r="C74" s="130"/>
      <c r="D74" s="130"/>
      <c r="E74" s="129"/>
      <c r="F74" s="365"/>
      <c r="H74" s="125"/>
      <c r="I74" s="367"/>
      <c r="J74" s="124"/>
      <c r="K74" s="123"/>
    </row>
    <row r="75" spans="2:13" x14ac:dyDescent="0.35">
      <c r="B75" s="128"/>
      <c r="C75" s="127"/>
      <c r="D75" s="127"/>
      <c r="E75" s="126"/>
      <c r="F75" s="366"/>
      <c r="H75" s="125"/>
      <c r="I75" s="367"/>
      <c r="J75" s="124"/>
      <c r="K75" s="123"/>
    </row>
    <row r="76" spans="2:13" x14ac:dyDescent="0.35">
      <c r="B76" s="128"/>
      <c r="C76" s="127"/>
      <c r="D76" s="127"/>
      <c r="E76" s="126"/>
      <c r="F76" s="366"/>
      <c r="H76" s="125"/>
      <c r="I76" s="367"/>
      <c r="J76" s="124"/>
      <c r="K76" s="123"/>
    </row>
    <row r="77" spans="2:13" x14ac:dyDescent="0.35">
      <c r="B77" s="128"/>
      <c r="C77" s="127"/>
      <c r="D77" s="127"/>
      <c r="E77" s="126"/>
      <c r="F77" s="366"/>
      <c r="H77" s="125"/>
      <c r="I77" s="367"/>
      <c r="J77" s="124"/>
      <c r="K77" s="123"/>
    </row>
    <row r="78" spans="2:13" x14ac:dyDescent="0.35">
      <c r="B78" s="128"/>
      <c r="C78" s="127"/>
      <c r="D78" s="127"/>
      <c r="E78" s="126"/>
      <c r="F78" s="366"/>
      <c r="H78" s="125"/>
      <c r="I78" s="367"/>
      <c r="J78" s="124"/>
      <c r="K78" s="123"/>
    </row>
    <row r="79" spans="2:13" x14ac:dyDescent="0.35">
      <c r="B79" s="128"/>
      <c r="C79" s="127"/>
      <c r="D79" s="127"/>
      <c r="E79" s="126"/>
      <c r="F79" s="366"/>
      <c r="H79" s="125"/>
      <c r="I79" s="367"/>
      <c r="J79" s="124"/>
      <c r="K79" s="123"/>
    </row>
    <row r="80" spans="2:13" x14ac:dyDescent="0.35">
      <c r="B80" s="128"/>
      <c r="C80" s="127"/>
      <c r="D80" s="127"/>
      <c r="E80" s="126"/>
      <c r="F80" s="366"/>
      <c r="H80" s="125"/>
      <c r="I80" s="367"/>
      <c r="J80" s="124"/>
      <c r="K80" s="123"/>
    </row>
    <row r="81" spans="2:16" x14ac:dyDescent="0.35">
      <c r="B81" s="128"/>
      <c r="C81" s="127"/>
      <c r="D81" s="127"/>
      <c r="E81" s="126"/>
      <c r="F81" s="366"/>
      <c r="H81" s="125"/>
      <c r="I81" s="367"/>
      <c r="J81" s="124"/>
      <c r="K81" s="123"/>
    </row>
    <row r="82" spans="2:16" x14ac:dyDescent="0.35">
      <c r="B82" s="128"/>
      <c r="C82" s="127"/>
      <c r="D82" s="127"/>
      <c r="E82" s="126"/>
      <c r="F82" s="366"/>
      <c r="H82" s="125"/>
      <c r="I82" s="367"/>
      <c r="J82" s="124"/>
      <c r="K82" s="123"/>
    </row>
    <row r="83" spans="2:16" x14ac:dyDescent="0.35">
      <c r="B83" s="128"/>
      <c r="C83" s="127"/>
      <c r="D83" s="127"/>
      <c r="E83" s="126"/>
      <c r="F83" s="366"/>
      <c r="H83" s="125"/>
      <c r="I83" s="367"/>
      <c r="J83" s="124"/>
      <c r="K83" s="123"/>
    </row>
    <row r="84" spans="2:16" x14ac:dyDescent="0.35">
      <c r="B84" s="128"/>
      <c r="C84" s="127"/>
      <c r="D84" s="127"/>
      <c r="E84" s="126"/>
      <c r="F84" s="366"/>
      <c r="H84" s="125"/>
      <c r="I84" s="367"/>
      <c r="J84" s="124"/>
      <c r="K84" s="123"/>
    </row>
    <row r="85" spans="2:16" x14ac:dyDescent="0.35">
      <c r="B85" s="128"/>
      <c r="C85" s="127"/>
      <c r="D85" s="127"/>
      <c r="E85" s="126"/>
      <c r="F85" s="366"/>
      <c r="H85" s="125"/>
      <c r="I85" s="367"/>
      <c r="J85" s="124"/>
      <c r="K85" s="123"/>
    </row>
    <row r="86" spans="2:16" x14ac:dyDescent="0.35">
      <c r="B86" s="120"/>
      <c r="C86" s="119"/>
      <c r="D86" s="119"/>
      <c r="E86" s="122"/>
      <c r="F86" s="362"/>
      <c r="H86" s="118"/>
      <c r="I86" s="368"/>
      <c r="J86" s="117"/>
      <c r="K86" s="116"/>
    </row>
    <row r="87" spans="2:16" x14ac:dyDescent="0.35">
      <c r="B87" s="120"/>
      <c r="C87" s="119"/>
      <c r="D87" s="119"/>
      <c r="E87" s="122"/>
      <c r="F87" s="362"/>
      <c r="H87" s="118"/>
      <c r="I87" s="368"/>
      <c r="J87" s="117"/>
      <c r="K87" s="116"/>
    </row>
    <row r="88" spans="2:16" x14ac:dyDescent="0.35">
      <c r="B88" s="120"/>
      <c r="C88" s="119"/>
      <c r="D88" s="119"/>
      <c r="E88" s="122"/>
      <c r="F88" s="362"/>
      <c r="H88" s="118"/>
      <c r="I88" s="368"/>
      <c r="J88" s="117"/>
      <c r="K88" s="116"/>
      <c r="L88" s="121"/>
    </row>
    <row r="89" spans="2:16" x14ac:dyDescent="0.35">
      <c r="B89" s="120"/>
      <c r="C89" s="119"/>
      <c r="D89" s="119"/>
      <c r="E89" s="119"/>
      <c r="F89" s="362">
        <f>ROUND(E89/52*D89,-2)</f>
        <v>0</v>
      </c>
      <c r="H89" s="118"/>
      <c r="I89" s="368"/>
      <c r="J89" s="117"/>
      <c r="K89" s="116"/>
    </row>
    <row r="90" spans="2:16" ht="15" thickBot="1" x14ac:dyDescent="0.4">
      <c r="B90" s="115"/>
      <c r="C90" s="114"/>
      <c r="D90" s="114"/>
      <c r="E90" s="114"/>
      <c r="F90" s="363">
        <f>ROUND(E90/52*D90,-2)</f>
        <v>0</v>
      </c>
      <c r="H90" s="113"/>
      <c r="I90" s="369"/>
      <c r="J90" s="112"/>
      <c r="K90" s="111"/>
    </row>
    <row r="91" spans="2:16" x14ac:dyDescent="0.35">
      <c r="F91" s="281">
        <f>SUM(F74:F90)</f>
        <v>0</v>
      </c>
      <c r="I91" s="281">
        <f>SUM(I74:I90)</f>
        <v>0</v>
      </c>
    </row>
    <row r="92" spans="2:16" x14ac:dyDescent="0.35">
      <c r="F92" s="110"/>
      <c r="I92" s="110"/>
    </row>
    <row r="93" spans="2:16" ht="16.5" x14ac:dyDescent="0.35">
      <c r="B93" s="109" t="s">
        <v>78</v>
      </c>
    </row>
    <row r="94" spans="2:16" ht="15" thickBot="1" x14ac:dyDescent="0.4">
      <c r="L94" s="323" t="s">
        <v>77</v>
      </c>
      <c r="M94" s="323"/>
      <c r="N94" s="323"/>
      <c r="O94" s="323"/>
      <c r="P94" s="323"/>
    </row>
    <row r="95" spans="2:16" ht="15" thickBot="1" x14ac:dyDescent="0.4">
      <c r="C95" s="108"/>
      <c r="D95" s="107"/>
      <c r="E95" s="106" t="s">
        <v>76</v>
      </c>
      <c r="F95" s="105">
        <f>-G21</f>
        <v>-267177</v>
      </c>
      <c r="K95" s="324" t="s">
        <v>75</v>
      </c>
      <c r="L95" s="28">
        <v>2024</v>
      </c>
      <c r="M95" s="28">
        <v>2025</v>
      </c>
      <c r="N95" s="28">
        <v>2026</v>
      </c>
      <c r="O95" s="28">
        <v>2026</v>
      </c>
      <c r="P95" s="28">
        <v>2026</v>
      </c>
    </row>
    <row r="96" spans="2:16" x14ac:dyDescent="0.35">
      <c r="C96" s="95"/>
      <c r="E96" s="42" t="s">
        <v>74</v>
      </c>
      <c r="F96" s="100">
        <f>(L21-F91-K70)*1.4-I91</f>
        <v>187023.19999999998</v>
      </c>
      <c r="G96" s="86"/>
      <c r="H96" s="339" t="s">
        <v>73</v>
      </c>
      <c r="I96" s="340"/>
      <c r="K96" s="325"/>
      <c r="L96" s="88">
        <v>0</v>
      </c>
      <c r="M96" s="88">
        <v>1</v>
      </c>
      <c r="N96" s="88">
        <v>2</v>
      </c>
      <c r="O96" s="88">
        <v>3</v>
      </c>
      <c r="P96" s="88">
        <v>4</v>
      </c>
    </row>
    <row r="97" spans="2:16" x14ac:dyDescent="0.35">
      <c r="C97" s="95"/>
      <c r="E97" s="42" t="s">
        <v>72</v>
      </c>
      <c r="F97" s="100">
        <f>(K21-J70)*1.4</f>
        <v>374046.39999999997</v>
      </c>
      <c r="H97" s="104">
        <v>2024</v>
      </c>
      <c r="I97" s="103">
        <v>2025</v>
      </c>
      <c r="K97" s="102" t="s">
        <v>71</v>
      </c>
      <c r="L97" s="101">
        <f>F95+F96+F98</f>
        <v>-80153.800000000017</v>
      </c>
      <c r="M97" s="101">
        <f>I98</f>
        <v>374046.39999999997</v>
      </c>
      <c r="N97" s="101">
        <f>M97</f>
        <v>374046.39999999997</v>
      </c>
      <c r="O97" s="101">
        <f>N97</f>
        <v>374046.39999999997</v>
      </c>
      <c r="P97" s="101">
        <f>O97</f>
        <v>374046.39999999997</v>
      </c>
    </row>
    <row r="98" spans="2:16" ht="15" thickBot="1" x14ac:dyDescent="0.4">
      <c r="C98" s="95"/>
      <c r="E98" s="42" t="s">
        <v>70</v>
      </c>
      <c r="F98" s="100">
        <f>F70*1.4</f>
        <v>0</v>
      </c>
      <c r="H98" s="99">
        <f>F96+F98</f>
        <v>187023.19999999998</v>
      </c>
      <c r="I98" s="98">
        <f>F97+F99</f>
        <v>374046.39999999997</v>
      </c>
      <c r="K98" s="97" t="s">
        <v>69</v>
      </c>
      <c r="L98" s="96">
        <f>L97</f>
        <v>-80153.800000000017</v>
      </c>
      <c r="M98" s="96">
        <f>L98+M97</f>
        <v>293892.59999999998</v>
      </c>
      <c r="N98" s="96">
        <f>M98+N97</f>
        <v>667939</v>
      </c>
      <c r="O98" s="96">
        <f>N98+O97</f>
        <v>1041985.3999999999</v>
      </c>
      <c r="P98" s="96">
        <f>O98+P97</f>
        <v>1416031.7999999998</v>
      </c>
    </row>
    <row r="99" spans="2:16" x14ac:dyDescent="0.35">
      <c r="C99" s="95"/>
      <c r="E99" s="42" t="s">
        <v>68</v>
      </c>
      <c r="F99" s="94">
        <f>E70*1.4</f>
        <v>0</v>
      </c>
    </row>
    <row r="100" spans="2:16" ht="15" thickBot="1" x14ac:dyDescent="0.4">
      <c r="C100" s="93"/>
      <c r="D100" s="92"/>
      <c r="E100" s="91" t="s">
        <v>67</v>
      </c>
      <c r="F100" s="90">
        <f>SUM(F95:F99)</f>
        <v>293892.59999999998</v>
      </c>
    </row>
    <row r="101" spans="2:16" x14ac:dyDescent="0.35">
      <c r="E101" s="42" t="s">
        <v>66</v>
      </c>
      <c r="F101" s="89">
        <f>SUMIF(L101:N101,"&gt;0",L101:N101)*12</f>
        <v>2.5714606530098947</v>
      </c>
      <c r="K101" s="88" t="s">
        <v>65</v>
      </c>
      <c r="L101" s="88">
        <f>IF(AND(L98&lt;0,M98&gt;0),L96+ABS(L98/M97))</f>
        <v>0.21428838775082457</v>
      </c>
      <c r="M101" s="88" t="b">
        <f>IF(AND(M98&lt;0,N98&gt;0),M96+ABS(M98/N97))</f>
        <v>0</v>
      </c>
      <c r="N101" s="88" t="b">
        <f>IF(AND(N98&lt;0,O98&gt;0),N96+ABS(N98/O97))</f>
        <v>0</v>
      </c>
      <c r="O101" s="88" t="b">
        <f>IF(AND(O98&lt;0,P98&gt;0),O96+ABS(O98/P97))</f>
        <v>0</v>
      </c>
      <c r="P101" s="88" t="b">
        <f>IF(AND(P98&lt;0,Q98&gt;0),P96+ABS(P98/Q97))</f>
        <v>0</v>
      </c>
    </row>
    <row r="102" spans="2:16" x14ac:dyDescent="0.35">
      <c r="E102" s="42"/>
      <c r="L102" s="87"/>
      <c r="M102" s="87"/>
      <c r="N102" s="87"/>
    </row>
    <row r="103" spans="2:16" ht="15" thickBot="1" x14ac:dyDescent="0.4">
      <c r="L103" s="86"/>
    </row>
    <row r="104" spans="2:16" ht="98.25" customHeight="1" thickBot="1" x14ac:dyDescent="0.4">
      <c r="B104" s="332" t="s">
        <v>64</v>
      </c>
      <c r="C104" s="333"/>
      <c r="D104" s="333"/>
      <c r="E104" s="333"/>
      <c r="F104" s="333"/>
      <c r="G104" s="333"/>
      <c r="H104" s="333"/>
      <c r="I104" s="333"/>
      <c r="J104" s="333"/>
      <c r="K104" s="334"/>
    </row>
    <row r="105" spans="2:16" x14ac:dyDescent="0.35">
      <c r="C105" s="85"/>
      <c r="D105" s="85"/>
      <c r="E105" s="85"/>
      <c r="F105" s="85"/>
    </row>
  </sheetData>
  <autoFilter ref="B5:T22" xr:uid="{FD23B2EA-879F-4979-BC75-E5A9B4F5D821}"/>
  <mergeCells count="21">
    <mergeCell ref="L66:M66"/>
    <mergeCell ref="L67:M67"/>
    <mergeCell ref="L68:M68"/>
    <mergeCell ref="B104:K104"/>
    <mergeCell ref="L69:M69"/>
    <mergeCell ref="B72:F72"/>
    <mergeCell ref="H72:K72"/>
    <mergeCell ref="J73:K73"/>
    <mergeCell ref="L94:P94"/>
    <mergeCell ref="K95:K96"/>
    <mergeCell ref="H96:I96"/>
    <mergeCell ref="B36:F36"/>
    <mergeCell ref="H36:M36"/>
    <mergeCell ref="L37:M37"/>
    <mergeCell ref="L38:M38"/>
    <mergeCell ref="L65:M65"/>
    <mergeCell ref="D2:G2"/>
    <mergeCell ref="B4:G4"/>
    <mergeCell ref="H4:J4"/>
    <mergeCell ref="B24:F24"/>
    <mergeCell ref="I24:J24"/>
  </mergeCells>
  <conditionalFormatting sqref="F100:F101">
    <cfRule type="expression" dxfId="1" priority="1">
      <formula>$F$100&lt;0</formula>
    </cfRule>
    <cfRule type="expression" dxfId="0" priority="2">
      <formula>$F$100&gt;=0</formula>
    </cfRule>
  </conditionalFormatting>
  <pageMargins left="0.7" right="0.7" top="0.75" bottom="0.75" header="0.3" footer="0.3"/>
  <pageSetup orientation="portrait" r:id="rId1"/>
  <headerFooter>
    <oddFooter>&amp;C&amp;"Calibri,Regular"&amp;11&amp;B&amp;K000000AEP CONFIDENTIAL</oddFooter>
    <evenFooter>&amp;C&amp;"Calibri,Regular"&amp;11&amp;B&amp;K000000AEP CONFIDENTIAL</evenFooter>
    <firstFooter>&amp;C&amp;"Calibri,Regular"&amp;11&amp;B&amp;K000000AEP CONFIDENTIAL</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95622-DF6A-4DAF-B4DC-B9FB251A2CC9}">
  <sheetPr>
    <pageSetUpPr autoPageBreaks="0"/>
  </sheetPr>
  <dimension ref="A1:X17"/>
  <sheetViews>
    <sheetView zoomScale="90" zoomScaleNormal="90" workbookViewId="0">
      <selection activeCell="A2" sqref="A2"/>
    </sheetView>
  </sheetViews>
  <sheetFormatPr defaultRowHeight="14.5" x14ac:dyDescent="0.35"/>
  <cols>
    <col min="1" max="1" width="30.81640625" customWidth="1"/>
    <col min="2" max="2" width="10.54296875" bestFit="1" customWidth="1"/>
    <col min="3" max="6" width="9.81640625" customWidth="1"/>
    <col min="7" max="7" width="1.81640625" customWidth="1"/>
    <col min="8" max="20" width="9.81640625" customWidth="1"/>
    <col min="21" max="21" width="1.81640625" customWidth="1"/>
    <col min="22" max="24" width="9.81640625" customWidth="1"/>
  </cols>
  <sheetData>
    <row r="1" spans="1:24" ht="21" x14ac:dyDescent="0.5">
      <c r="A1" s="23" t="s">
        <v>38</v>
      </c>
    </row>
    <row r="2" spans="1:24" x14ac:dyDescent="0.35">
      <c r="A2" s="24" t="s">
        <v>11</v>
      </c>
    </row>
    <row r="4" spans="1:24" x14ac:dyDescent="0.35">
      <c r="A4" s="284" t="s">
        <v>0</v>
      </c>
      <c r="B4" s="284" t="s">
        <v>13</v>
      </c>
      <c r="C4" s="360" t="s">
        <v>39</v>
      </c>
      <c r="D4" s="360"/>
      <c r="E4" s="361"/>
      <c r="F4" s="25"/>
      <c r="G4" s="26"/>
      <c r="H4" s="346" t="s">
        <v>40</v>
      </c>
      <c r="I4" s="346"/>
      <c r="J4" s="346"/>
      <c r="K4" s="346"/>
      <c r="L4" s="346"/>
      <c r="M4" s="346"/>
      <c r="N4" s="346"/>
      <c r="O4" s="346"/>
      <c r="P4" s="346"/>
      <c r="Q4" s="346"/>
      <c r="R4" s="346"/>
      <c r="S4" s="346"/>
      <c r="T4" s="27"/>
      <c r="V4" s="346">
        <v>2026</v>
      </c>
      <c r="W4" s="346">
        <v>2027</v>
      </c>
      <c r="X4" s="346">
        <v>2028</v>
      </c>
    </row>
    <row r="5" spans="1:24" ht="22.5" customHeight="1" x14ac:dyDescent="0.35">
      <c r="A5" s="284"/>
      <c r="B5" s="284"/>
      <c r="C5" s="28" t="s">
        <v>41</v>
      </c>
      <c r="D5" s="28" t="s">
        <v>42</v>
      </c>
      <c r="E5" s="29" t="s">
        <v>43</v>
      </c>
      <c r="F5" s="30"/>
      <c r="G5" s="26"/>
      <c r="H5" s="28" t="s">
        <v>44</v>
      </c>
      <c r="I5" s="28" t="s">
        <v>45</v>
      </c>
      <c r="J5" s="28" t="s">
        <v>46</v>
      </c>
      <c r="K5" s="28" t="s">
        <v>47</v>
      </c>
      <c r="L5" s="28" t="s">
        <v>48</v>
      </c>
      <c r="M5" s="28" t="s">
        <v>49</v>
      </c>
      <c r="N5" s="28" t="s">
        <v>50</v>
      </c>
      <c r="O5" s="28" t="s">
        <v>51</v>
      </c>
      <c r="P5" s="28" t="s">
        <v>52</v>
      </c>
      <c r="Q5" s="28" t="s">
        <v>41</v>
      </c>
      <c r="R5" s="28" t="s">
        <v>42</v>
      </c>
      <c r="S5" s="29" t="s">
        <v>43</v>
      </c>
      <c r="T5" s="31"/>
      <c r="V5" s="346"/>
      <c r="W5" s="346"/>
      <c r="X5" s="346"/>
    </row>
    <row r="6" spans="1:24" ht="22.5" customHeight="1" x14ac:dyDescent="0.35">
      <c r="A6" s="34" t="s">
        <v>53</v>
      </c>
      <c r="B6" s="35">
        <v>3</v>
      </c>
      <c r="C6" s="35">
        <v>1</v>
      </c>
      <c r="D6" s="35">
        <v>1</v>
      </c>
      <c r="E6" s="35">
        <v>1</v>
      </c>
      <c r="F6" s="32"/>
      <c r="G6" s="33"/>
      <c r="H6" s="35">
        <v>1</v>
      </c>
      <c r="I6" s="35">
        <v>1</v>
      </c>
      <c r="J6" s="35">
        <v>1</v>
      </c>
      <c r="K6" s="35">
        <v>1</v>
      </c>
      <c r="L6" s="35">
        <v>1</v>
      </c>
      <c r="M6" s="35">
        <v>2</v>
      </c>
      <c r="N6" s="35">
        <v>2</v>
      </c>
      <c r="O6" s="35">
        <v>2</v>
      </c>
      <c r="P6" s="35">
        <v>2</v>
      </c>
      <c r="Q6" s="35">
        <v>3</v>
      </c>
      <c r="R6" s="35">
        <v>3</v>
      </c>
      <c r="S6" s="35">
        <v>3</v>
      </c>
      <c r="T6" s="31"/>
      <c r="V6" s="35">
        <v>3</v>
      </c>
      <c r="W6" s="35">
        <v>3</v>
      </c>
      <c r="X6" s="35">
        <v>3</v>
      </c>
    </row>
    <row r="7" spans="1:24" ht="22.5" customHeight="1" x14ac:dyDescent="0.35">
      <c r="A7" s="36" t="s">
        <v>10</v>
      </c>
      <c r="B7" s="37">
        <f>SUM(B6:B6)</f>
        <v>3</v>
      </c>
      <c r="C7" s="37">
        <f>SUM(C6:C6)</f>
        <v>1</v>
      </c>
      <c r="D7" s="37">
        <f>SUM(D6:D6)</f>
        <v>1</v>
      </c>
      <c r="E7" s="38">
        <f>SUM(E6:E6)</f>
        <v>1</v>
      </c>
      <c r="F7" s="39"/>
      <c r="G7" s="40"/>
      <c r="H7" s="37">
        <f t="shared" ref="H7:S7" si="0">SUM(H6:H6)</f>
        <v>1</v>
      </c>
      <c r="I7" s="37">
        <f t="shared" si="0"/>
        <v>1</v>
      </c>
      <c r="J7" s="37">
        <f t="shared" si="0"/>
        <v>1</v>
      </c>
      <c r="K7" s="37">
        <f t="shared" si="0"/>
        <v>1</v>
      </c>
      <c r="L7" s="37">
        <f t="shared" si="0"/>
        <v>1</v>
      </c>
      <c r="M7" s="37">
        <f t="shared" si="0"/>
        <v>2</v>
      </c>
      <c r="N7" s="37">
        <f t="shared" si="0"/>
        <v>2</v>
      </c>
      <c r="O7" s="37">
        <f t="shared" si="0"/>
        <v>2</v>
      </c>
      <c r="P7" s="37">
        <f t="shared" si="0"/>
        <v>2</v>
      </c>
      <c r="Q7" s="37">
        <f t="shared" si="0"/>
        <v>3</v>
      </c>
      <c r="R7" s="37">
        <f t="shared" si="0"/>
        <v>3</v>
      </c>
      <c r="S7" s="38">
        <f t="shared" si="0"/>
        <v>3</v>
      </c>
      <c r="T7" s="41"/>
      <c r="V7" s="38">
        <f>SUM(V6:V6)</f>
        <v>3</v>
      </c>
      <c r="W7" s="38">
        <f>SUM(W6:W6)</f>
        <v>3</v>
      </c>
      <c r="X7" s="38">
        <f>SUM(X6:X6)</f>
        <v>3</v>
      </c>
    </row>
    <row r="8" spans="1:24" ht="22.5" customHeight="1" thickBot="1" x14ac:dyDescent="0.4">
      <c r="A8" s="42"/>
      <c r="B8" s="43"/>
      <c r="C8" s="43"/>
      <c r="D8" s="43"/>
      <c r="E8" s="43"/>
      <c r="F8" s="43"/>
      <c r="G8" s="43"/>
      <c r="H8" s="43"/>
      <c r="I8" s="43"/>
      <c r="J8" s="43"/>
      <c r="K8" s="43"/>
      <c r="L8" s="43"/>
      <c r="M8" s="43"/>
      <c r="N8" s="43"/>
      <c r="O8" s="43"/>
      <c r="P8" s="43"/>
      <c r="Q8" s="43"/>
      <c r="R8" s="43"/>
      <c r="S8" s="43"/>
    </row>
    <row r="9" spans="1:24" x14ac:dyDescent="0.35">
      <c r="A9" s="285" t="s">
        <v>0</v>
      </c>
      <c r="B9" s="347" t="s">
        <v>54</v>
      </c>
      <c r="C9" s="348" t="s">
        <v>55</v>
      </c>
      <c r="D9" s="349"/>
      <c r="E9" s="349"/>
      <c r="F9" s="350"/>
      <c r="G9" s="44"/>
      <c r="H9" s="351" t="s">
        <v>56</v>
      </c>
      <c r="I9" s="352"/>
      <c r="J9" s="352"/>
      <c r="K9" s="352"/>
      <c r="L9" s="352"/>
      <c r="M9" s="352"/>
      <c r="N9" s="352"/>
      <c r="O9" s="352"/>
      <c r="P9" s="352"/>
      <c r="Q9" s="352"/>
      <c r="R9" s="352"/>
      <c r="S9" s="352"/>
      <c r="T9" s="353"/>
      <c r="V9" s="354" t="s">
        <v>57</v>
      </c>
      <c r="W9" s="356" t="s">
        <v>58</v>
      </c>
      <c r="X9" s="358" t="s">
        <v>59</v>
      </c>
    </row>
    <row r="10" spans="1:24" ht="22.5" customHeight="1" x14ac:dyDescent="0.35">
      <c r="A10" s="285"/>
      <c r="B10" s="347"/>
      <c r="C10" s="45" t="s">
        <v>41</v>
      </c>
      <c r="D10" s="28" t="s">
        <v>42</v>
      </c>
      <c r="E10" s="28" t="s">
        <v>43</v>
      </c>
      <c r="F10" s="46" t="s">
        <v>10</v>
      </c>
      <c r="G10" s="47"/>
      <c r="H10" s="45" t="s">
        <v>44</v>
      </c>
      <c r="I10" s="28" t="s">
        <v>45</v>
      </c>
      <c r="J10" s="28" t="s">
        <v>46</v>
      </c>
      <c r="K10" s="28" t="s">
        <v>47</v>
      </c>
      <c r="L10" s="28" t="s">
        <v>48</v>
      </c>
      <c r="M10" s="28" t="s">
        <v>49</v>
      </c>
      <c r="N10" s="28" t="s">
        <v>50</v>
      </c>
      <c r="O10" s="28" t="s">
        <v>51</v>
      </c>
      <c r="P10" s="28" t="s">
        <v>52</v>
      </c>
      <c r="Q10" s="28" t="s">
        <v>41</v>
      </c>
      <c r="R10" s="28" t="s">
        <v>42</v>
      </c>
      <c r="S10" s="28" t="s">
        <v>43</v>
      </c>
      <c r="T10" s="46" t="s">
        <v>10</v>
      </c>
      <c r="V10" s="355"/>
      <c r="W10" s="357"/>
      <c r="X10" s="359"/>
    </row>
    <row r="11" spans="1:24" ht="22.5" customHeight="1" x14ac:dyDescent="0.35">
      <c r="A11" s="34" t="s">
        <v>53</v>
      </c>
      <c r="B11" s="84">
        <v>0.115</v>
      </c>
      <c r="C11" s="48">
        <f>($B$11/12)*C6</f>
        <v>9.5833333333333343E-3</v>
      </c>
      <c r="D11" s="49">
        <f>($B$11/12)*D6</f>
        <v>9.5833333333333343E-3</v>
      </c>
      <c r="E11" s="49">
        <f>($B$11/12)*E6</f>
        <v>9.5833333333333343E-3</v>
      </c>
      <c r="F11" s="50">
        <f t="shared" ref="F11" si="1">SUM(C11:E11)</f>
        <v>2.8750000000000005E-2</v>
      </c>
      <c r="G11" s="51"/>
      <c r="H11" s="53">
        <f t="shared" ref="H11:S11" si="2">($B$11/12)*H6</f>
        <v>9.5833333333333343E-3</v>
      </c>
      <c r="I11" s="54">
        <f t="shared" si="2"/>
        <v>9.5833333333333343E-3</v>
      </c>
      <c r="J11" s="54">
        <f t="shared" si="2"/>
        <v>9.5833333333333343E-3</v>
      </c>
      <c r="K11" s="54">
        <f t="shared" si="2"/>
        <v>9.5833333333333343E-3</v>
      </c>
      <c r="L11" s="54">
        <f t="shared" si="2"/>
        <v>9.5833333333333343E-3</v>
      </c>
      <c r="M11" s="54">
        <f t="shared" si="2"/>
        <v>1.9166666666666669E-2</v>
      </c>
      <c r="N11" s="54">
        <f t="shared" si="2"/>
        <v>1.9166666666666669E-2</v>
      </c>
      <c r="O11" s="54">
        <f t="shared" si="2"/>
        <v>1.9166666666666669E-2</v>
      </c>
      <c r="P11" s="54">
        <f t="shared" si="2"/>
        <v>1.9166666666666669E-2</v>
      </c>
      <c r="Q11" s="54">
        <f t="shared" si="2"/>
        <v>2.8750000000000005E-2</v>
      </c>
      <c r="R11" s="54">
        <f t="shared" si="2"/>
        <v>2.8750000000000005E-2</v>
      </c>
      <c r="S11" s="54">
        <f t="shared" si="2"/>
        <v>2.8750000000000005E-2</v>
      </c>
      <c r="T11" s="55">
        <f t="shared" ref="T11:T12" si="3">SUM(H11:S11)</f>
        <v>0.21083333333333334</v>
      </c>
      <c r="V11" s="53">
        <f>B6*$B$11</f>
        <v>0.34500000000000003</v>
      </c>
      <c r="W11" s="49">
        <f t="shared" ref="W11:X11" si="4">((0.0325*0.75)+1)*V11</f>
        <v>0.35340937500000003</v>
      </c>
      <c r="X11" s="52">
        <f t="shared" si="4"/>
        <v>0.36202372851562503</v>
      </c>
    </row>
    <row r="12" spans="1:24" ht="22.5" customHeight="1" x14ac:dyDescent="0.35">
      <c r="A12" s="36" t="s">
        <v>60</v>
      </c>
      <c r="B12" s="56"/>
      <c r="C12" s="57">
        <f>SUM(C11:C11)</f>
        <v>9.5833333333333343E-3</v>
      </c>
      <c r="D12" s="58">
        <f>SUM(D11:D11)</f>
        <v>9.5833333333333343E-3</v>
      </c>
      <c r="E12" s="59">
        <f>SUM(E11:E11)</f>
        <v>9.5833333333333343E-3</v>
      </c>
      <c r="F12" s="60">
        <f>SUM(F11:F11)</f>
        <v>2.8750000000000005E-2</v>
      </c>
      <c r="G12" s="43"/>
      <c r="H12" s="57">
        <f t="shared" ref="H12:S12" si="5">SUM(H11:H11)</f>
        <v>9.5833333333333343E-3</v>
      </c>
      <c r="I12" s="58">
        <f t="shared" si="5"/>
        <v>9.5833333333333343E-3</v>
      </c>
      <c r="J12" s="58">
        <f t="shared" si="5"/>
        <v>9.5833333333333343E-3</v>
      </c>
      <c r="K12" s="58">
        <f t="shared" si="5"/>
        <v>9.5833333333333343E-3</v>
      </c>
      <c r="L12" s="58">
        <f t="shared" si="5"/>
        <v>9.5833333333333343E-3</v>
      </c>
      <c r="M12" s="58">
        <f t="shared" si="5"/>
        <v>1.9166666666666669E-2</v>
      </c>
      <c r="N12" s="58">
        <f t="shared" si="5"/>
        <v>1.9166666666666669E-2</v>
      </c>
      <c r="O12" s="58">
        <f t="shared" si="5"/>
        <v>1.9166666666666669E-2</v>
      </c>
      <c r="P12" s="58">
        <f t="shared" si="5"/>
        <v>1.9166666666666669E-2</v>
      </c>
      <c r="Q12" s="58">
        <f t="shared" si="5"/>
        <v>2.8750000000000005E-2</v>
      </c>
      <c r="R12" s="58">
        <f t="shared" si="5"/>
        <v>2.8750000000000005E-2</v>
      </c>
      <c r="S12" s="58">
        <f t="shared" si="5"/>
        <v>2.8750000000000005E-2</v>
      </c>
      <c r="T12" s="60">
        <f t="shared" si="3"/>
        <v>0.21083333333333334</v>
      </c>
      <c r="V12" s="57">
        <f>SUM(V11:V11)</f>
        <v>0.34500000000000003</v>
      </c>
      <c r="W12" s="58">
        <f>SUM(W11:W11)</f>
        <v>0.35340937500000003</v>
      </c>
      <c r="X12" s="60">
        <f>SUM(X11:X11)</f>
        <v>0.36202372851562503</v>
      </c>
    </row>
    <row r="13" spans="1:24" ht="22.5" customHeight="1" x14ac:dyDescent="0.35">
      <c r="A13" s="61" t="s">
        <v>61</v>
      </c>
      <c r="C13" s="62"/>
      <c r="D13" s="63"/>
      <c r="E13" s="63"/>
      <c r="F13" s="64"/>
      <c r="G13" s="51"/>
      <c r="H13" s="62"/>
      <c r="I13" s="63"/>
      <c r="J13" s="63"/>
      <c r="K13" s="63"/>
      <c r="L13" s="63"/>
      <c r="M13" s="63"/>
      <c r="N13" s="63"/>
      <c r="O13" s="63"/>
      <c r="P13" s="63"/>
      <c r="Q13" s="63"/>
      <c r="R13" s="63"/>
      <c r="S13" s="63"/>
      <c r="T13" s="65"/>
      <c r="V13" s="62"/>
      <c r="W13" s="63"/>
      <c r="X13" s="66"/>
    </row>
    <row r="14" spans="1:24" ht="22.5" customHeight="1" x14ac:dyDescent="0.35">
      <c r="A14" s="67" t="s">
        <v>53</v>
      </c>
      <c r="B14" s="83">
        <v>3.2000000000000002E-3</v>
      </c>
      <c r="C14" s="48">
        <f>($B$14/12)*C6</f>
        <v>2.6666666666666668E-4</v>
      </c>
      <c r="D14" s="49">
        <f>($B$14/12)*D6</f>
        <v>2.6666666666666668E-4</v>
      </c>
      <c r="E14" s="49">
        <f>($B$14/12)*E6</f>
        <v>2.6666666666666668E-4</v>
      </c>
      <c r="F14" s="50">
        <f t="shared" ref="F14" si="6">SUM(C14:E14)</f>
        <v>8.0000000000000004E-4</v>
      </c>
      <c r="G14" s="51"/>
      <c r="H14" s="48">
        <f t="shared" ref="H14:S14" si="7">($B$14/12)*H6</f>
        <v>2.6666666666666668E-4</v>
      </c>
      <c r="I14" s="49">
        <f t="shared" si="7"/>
        <v>2.6666666666666668E-4</v>
      </c>
      <c r="J14" s="49">
        <f t="shared" si="7"/>
        <v>2.6666666666666668E-4</v>
      </c>
      <c r="K14" s="49">
        <f t="shared" si="7"/>
        <v>2.6666666666666668E-4</v>
      </c>
      <c r="L14" s="49">
        <f t="shared" si="7"/>
        <v>2.6666666666666668E-4</v>
      </c>
      <c r="M14" s="49">
        <f t="shared" si="7"/>
        <v>5.3333333333333336E-4</v>
      </c>
      <c r="N14" s="49">
        <f t="shared" si="7"/>
        <v>5.3333333333333336E-4</v>
      </c>
      <c r="O14" s="49">
        <f t="shared" si="7"/>
        <v>5.3333333333333336E-4</v>
      </c>
      <c r="P14" s="49">
        <f t="shared" si="7"/>
        <v>5.3333333333333336E-4</v>
      </c>
      <c r="Q14" s="49">
        <f t="shared" si="7"/>
        <v>8.0000000000000004E-4</v>
      </c>
      <c r="R14" s="49">
        <f t="shared" si="7"/>
        <v>8.0000000000000004E-4</v>
      </c>
      <c r="S14" s="49">
        <f t="shared" si="7"/>
        <v>8.0000000000000004E-4</v>
      </c>
      <c r="T14" s="55">
        <f t="shared" ref="T14:T15" si="8">SUM(H14:S14)</f>
        <v>5.8666666666666685E-3</v>
      </c>
      <c r="V14" s="48">
        <f>B6*$B$14</f>
        <v>9.6000000000000009E-3</v>
      </c>
      <c r="W14" s="49">
        <f t="shared" ref="W14" si="9">(1.02)*V14</f>
        <v>9.7920000000000004E-3</v>
      </c>
      <c r="X14" s="52">
        <f t="shared" ref="X14" si="10">(1.02)*W14</f>
        <v>9.9878400000000013E-3</v>
      </c>
    </row>
    <row r="15" spans="1:24" ht="22.5" customHeight="1" thickBot="1" x14ac:dyDescent="0.4">
      <c r="A15" s="36" t="s">
        <v>62</v>
      </c>
      <c r="B15" s="56"/>
      <c r="C15" s="68">
        <f>SUM(C14:C14)</f>
        <v>2.6666666666666668E-4</v>
      </c>
      <c r="D15" s="69">
        <f>SUM(D14:D14)</f>
        <v>2.6666666666666668E-4</v>
      </c>
      <c r="E15" s="70">
        <f>SUM(E14:E14)</f>
        <v>2.6666666666666668E-4</v>
      </c>
      <c r="F15" s="71">
        <f>SUM(F14:F14)</f>
        <v>8.0000000000000004E-4</v>
      </c>
      <c r="G15" s="43"/>
      <c r="H15" s="68">
        <f t="shared" ref="H15:S15" si="11">SUM(H14:H14)</f>
        <v>2.6666666666666668E-4</v>
      </c>
      <c r="I15" s="69">
        <f t="shared" si="11"/>
        <v>2.6666666666666668E-4</v>
      </c>
      <c r="J15" s="69">
        <f t="shared" si="11"/>
        <v>2.6666666666666668E-4</v>
      </c>
      <c r="K15" s="69">
        <f t="shared" si="11"/>
        <v>2.6666666666666668E-4</v>
      </c>
      <c r="L15" s="69">
        <f t="shared" si="11"/>
        <v>2.6666666666666668E-4</v>
      </c>
      <c r="M15" s="69">
        <f t="shared" si="11"/>
        <v>5.3333333333333336E-4</v>
      </c>
      <c r="N15" s="69">
        <f t="shared" si="11"/>
        <v>5.3333333333333336E-4</v>
      </c>
      <c r="O15" s="69">
        <f t="shared" si="11"/>
        <v>5.3333333333333336E-4</v>
      </c>
      <c r="P15" s="69">
        <f t="shared" si="11"/>
        <v>5.3333333333333336E-4</v>
      </c>
      <c r="Q15" s="69">
        <f t="shared" si="11"/>
        <v>8.0000000000000004E-4</v>
      </c>
      <c r="R15" s="69">
        <f t="shared" si="11"/>
        <v>8.0000000000000004E-4</v>
      </c>
      <c r="S15" s="69">
        <f t="shared" si="11"/>
        <v>8.0000000000000004E-4</v>
      </c>
      <c r="T15" s="71">
        <f t="shared" si="8"/>
        <v>5.8666666666666685E-3</v>
      </c>
      <c r="V15" s="68">
        <f>SUM(V14:V14)</f>
        <v>9.6000000000000009E-3</v>
      </c>
      <c r="W15" s="69">
        <f>SUM(W14:W14)</f>
        <v>9.7920000000000004E-3</v>
      </c>
      <c r="X15" s="71">
        <f>SUM(X14:X14)</f>
        <v>9.9878400000000013E-3</v>
      </c>
    </row>
    <row r="16" spans="1:24" ht="15" thickBot="1" x14ac:dyDescent="0.4"/>
    <row r="17" spans="1:24" ht="22.5" customHeight="1" thickBot="1" x14ac:dyDescent="0.4">
      <c r="A17" s="36" t="s">
        <v>63</v>
      </c>
      <c r="B17" s="56"/>
      <c r="C17" s="72">
        <f>C12+C15</f>
        <v>9.8500000000000011E-3</v>
      </c>
      <c r="D17" s="73">
        <f>D12+D15</f>
        <v>9.8500000000000011E-3</v>
      </c>
      <c r="E17" s="73">
        <f>E12+E15</f>
        <v>9.8500000000000011E-3</v>
      </c>
      <c r="F17" s="74">
        <f>SUM(C17:E17)</f>
        <v>2.9550000000000003E-2</v>
      </c>
      <c r="G17" s="43"/>
      <c r="H17" s="72">
        <f t="shared" ref="H17:S17" si="12">H12+H15</f>
        <v>9.8500000000000011E-3</v>
      </c>
      <c r="I17" s="73">
        <f t="shared" si="12"/>
        <v>9.8500000000000011E-3</v>
      </c>
      <c r="J17" s="73">
        <f t="shared" si="12"/>
        <v>9.8500000000000011E-3</v>
      </c>
      <c r="K17" s="73">
        <f t="shared" si="12"/>
        <v>9.8500000000000011E-3</v>
      </c>
      <c r="L17" s="73">
        <f t="shared" si="12"/>
        <v>9.8500000000000011E-3</v>
      </c>
      <c r="M17" s="73">
        <f t="shared" si="12"/>
        <v>1.9700000000000002E-2</v>
      </c>
      <c r="N17" s="73">
        <f t="shared" si="12"/>
        <v>1.9700000000000002E-2</v>
      </c>
      <c r="O17" s="73">
        <f t="shared" si="12"/>
        <v>1.9700000000000002E-2</v>
      </c>
      <c r="P17" s="73">
        <f t="shared" si="12"/>
        <v>1.9700000000000002E-2</v>
      </c>
      <c r="Q17" s="73">
        <f t="shared" si="12"/>
        <v>2.9550000000000003E-2</v>
      </c>
      <c r="R17" s="73">
        <f t="shared" si="12"/>
        <v>2.9550000000000003E-2</v>
      </c>
      <c r="S17" s="73">
        <f t="shared" si="12"/>
        <v>2.9550000000000003E-2</v>
      </c>
      <c r="T17" s="74">
        <f>SUM(H17:S17)</f>
        <v>0.21669999999999998</v>
      </c>
      <c r="V17" s="75">
        <f>V12+V15</f>
        <v>0.35460000000000003</v>
      </c>
      <c r="W17" s="76">
        <f>W12+W15</f>
        <v>0.36320137500000005</v>
      </c>
      <c r="X17" s="74">
        <f>X12+X15</f>
        <v>0.37201156851562506</v>
      </c>
    </row>
  </sheetData>
  <mergeCells count="14">
    <mergeCell ref="X4:X5"/>
    <mergeCell ref="A9:A10"/>
    <mergeCell ref="B9:B10"/>
    <mergeCell ref="C9:F9"/>
    <mergeCell ref="H9:T9"/>
    <mergeCell ref="V9:V10"/>
    <mergeCell ref="W9:W10"/>
    <mergeCell ref="X9:X10"/>
    <mergeCell ref="A4:A5"/>
    <mergeCell ref="B4:B5"/>
    <mergeCell ref="C4:E4"/>
    <mergeCell ref="H4:S4"/>
    <mergeCell ref="V4:V5"/>
    <mergeCell ref="W4:W5"/>
  </mergeCells>
  <pageMargins left="0.7" right="0.7" top="0.75" bottom="0.75" header="0.3" footer="0.3"/>
  <pageSetup orientation="portrait" r:id="rId1"/>
  <headerFooter>
    <oddFooter>&amp;C&amp;"Calibri,Regular"&amp;11&amp;B&amp;K000000AEP CONFIDENTIAL</oddFooter>
    <evenFooter>&amp;C&amp;"Calibri,Regular"&amp;11&amp;B&amp;K000000AEP CONFIDENTIAL</evenFooter>
    <firstFooter>&amp;C&amp;"Calibri,Regular"&amp;11&amp;B&amp;K000000AEP CONFIDENTIAL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F805D1E1DA4A49A223477D3B105720" ma:contentTypeVersion="20" ma:contentTypeDescription="Create a new document." ma:contentTypeScope="" ma:versionID="37e8545f9097af293d07877c154c5451">
  <xsd:schema xmlns:xsd="http://www.w3.org/2001/XMLSchema" xmlns:xs="http://www.w3.org/2001/XMLSchema" xmlns:p="http://schemas.microsoft.com/office/2006/metadata/properties" xmlns:ns2="f88ffb1c-9230-4705-a789-27bae69f5829" xmlns:ns3="b6888f76-1100-40b0-929b-1efe9044426d" targetNamespace="http://schemas.microsoft.com/office/2006/metadata/properties" ma:root="true" ma:fieldsID="8edfe77cef90f9ce79cdb433746aba48" ns2:_="" ns3:_="">
    <xsd:import namespace="f88ffb1c-9230-4705-a789-27bae69f5829"/>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wner" minOccurs="0"/>
                <xsd:element ref="ns2:Notes" minOccurs="0"/>
                <xsd:element ref="ns2:OriginalFileDate" minOccurs="0"/>
                <xsd:element ref="ns2:_Flow_SignoffStatus" minOccurs="0"/>
                <xsd:element ref="ns2:DueDat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ffb1c-9230-4705-a789-27bae69f5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wner" ma:index="22"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es" ma:index="23" nillable="true" ma:displayName="Notes" ma:format="Dropdown" ma:internalName="Notes">
      <xsd:simpleType>
        <xsd:restriction base="dms:Text">
          <xsd:maxLength value="255"/>
        </xsd:restriction>
      </xsd:simpleType>
    </xsd:element>
    <xsd:element name="OriginalFileDate" ma:index="24" nillable="true" ma:displayName="Original File Date" ma:format="DateOnly" ma:internalName="OriginalFileDate">
      <xsd:simpleType>
        <xsd:restriction base="dms:DateTime"/>
      </xsd:simpleType>
    </xsd:element>
    <xsd:element name="_Flow_SignoffStatus" ma:index="25" nillable="true" ma:displayName="Sign-off status" ma:internalName="_x0024_Resources_x003a_core_x002c_Signoff_Status">
      <xsd:simpleType>
        <xsd:restriction base="dms:Text"/>
      </xsd:simpleType>
    </xsd:element>
    <xsd:element name="DueDate" ma:index="26" nillable="true" ma:displayName="Due Date" ma:format="DateOnly" ma:indexed="true" ma:internalName="DueDate">
      <xsd:simpleType>
        <xsd:restriction base="dms:DateTime"/>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FmNmE5OGQ1LTRlNmEtNDA2Zi04MjU4LTNmMDdiNjFhMWI5OCIgdmFsdWU9IiIgeG1sbnM9Imh0dHA6Ly93d3cuYm9sZG9uamFtZXMuY29tLzIwMDgvMDEvc2llL2ludGVybmFsL2xhYmVsIiAvPjxlbGVtZW50IHVpZD0iYjc2MGFkYTUtMTJiZS00YTk5LTljNTgtZTM4NjU1Nzg3ZTMzIiB2YWx1ZT0iIiB4bWxucz0iaHR0cDovL3d3dy5ib2xkb25qYW1lcy5jb20vMjAwOC8wMS9zaWUvaW50ZXJuYWwvbGFiZWwiIC8+PGVsZW1lbnQgdWlkPSI0NzI1NzU5OC0wYzgyLTQ0MDItOTAyMi1kYzEzZDU0YWFmNTMiIHZhbHVlPSIiIHhtbG5zPSJodHRwOi8vd3d3LmJvbGRvbmphbWVzLmNvbS8yMDA4LzAxL3NpZS9pbnRlcm5hbC9sYWJlbCIgLz48ZWxlbWVudCB1aWQ9ImQxNGY1YzM2LWY0NGEtNDMxNS1iNDM4LTAwNWNmZThmMDY5ZiIgdmFsdWU9IiIgeG1sbnM9Imh0dHA6Ly93d3cuYm9sZG9uamFtZXMuY29tLzIwMDgvMDEvc2llL2ludGVybmFsL2xhYmVsIiAvPjwvc2lzbD48VXNlck5hbWU+Q09SUFxzMDA4NzQ1PC9Vc2VyTmFtZT48RGF0ZVRpbWU+Ni8yNy8yMDI0IDg6NTU6NTIgUE08L0RhdGVUaW1lPjxMYWJlbFN0cmluZz5BRVAgQ29uZmlkZW50aWFsPC9MYWJlbFN0cmluZz48L2l0ZW0+PC9sYWJlbEhpc3Rvcnk+</Value>
</WrappedLabelHistory>
</file>

<file path=customXml/item3.xml><?xml version="1.0" encoding="utf-8"?>
<p:properties xmlns:p="http://schemas.microsoft.com/office/2006/metadata/properties" xmlns:xsi="http://www.w3.org/2001/XMLSchema-instance" xmlns:pc="http://schemas.microsoft.com/office/infopath/2007/PartnerControls">
  <documentManagement>
    <SharedWithUsers xmlns="b6888f76-1100-40b0-929b-1efe9044426d">
      <UserInfo>
        <DisplayName>Bill Allen</DisplayName>
        <AccountId>18</AccountId>
        <AccountType/>
      </UserInfo>
      <UserInfo>
        <DisplayName>Emi C Sauer</DisplayName>
        <AccountId>12</AccountId>
        <AccountType/>
      </UserInfo>
    </SharedWithUsers>
    <lcf76f155ced4ddcb4097134ff3c332f xmlns="f88ffb1c-9230-4705-a789-27bae69f5829">
      <Terms xmlns="http://schemas.microsoft.com/office/infopath/2007/PartnerControls"/>
    </lcf76f155ced4ddcb4097134ff3c332f>
    <TaxCatchAll xmlns="b6888f76-1100-40b0-929b-1efe9044426d" xsi:nil="true"/>
    <Notes xmlns="f88ffb1c-9230-4705-a789-27bae69f5829" xsi:nil="true"/>
    <OriginalFileDate xmlns="f88ffb1c-9230-4705-a789-27bae69f5829" xsi:nil="true"/>
    <Owner xmlns="f88ffb1c-9230-4705-a789-27bae69f5829">
      <UserInfo>
        <DisplayName/>
        <AccountId xsi:nil="true"/>
        <AccountType/>
      </UserInfo>
    </Owner>
    <DueDate xmlns="f88ffb1c-9230-4705-a789-27bae69f5829" xsi:nil="true"/>
    <_Flow_SignoffStatus xmlns="f88ffb1c-9230-4705-a789-27bae69f5829"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sisl xmlns:xsd="http://www.w3.org/2001/XMLSchema" xmlns:xsi="http://www.w3.org/2001/XMLSchema-instance" xmlns="http://www.boldonjames.com/2008/01/sie/internal/label" sislVersion="0" policy="e9c0b8d7-bdb4-4fd3-b62a-f50327aaefce" origin="userSelected">
  <element uid="1f6a98d5-4e6a-406f-8258-3f07b61a1b98" value=""/>
  <element uid="b760ada5-12be-4a99-9c58-e38655787e33" value=""/>
  <element uid="47257598-0c82-4402-9022-dc13d54aaf53" value=""/>
  <element uid="d14f5c36-f44a-4315-b438-005cfe8f069f" value=""/>
</sisl>
</file>

<file path=customXml/itemProps1.xml><?xml version="1.0" encoding="utf-8"?>
<ds:datastoreItem xmlns:ds="http://schemas.openxmlformats.org/officeDocument/2006/customXml" ds:itemID="{8D2E2739-D90E-4F34-B670-0DC51F1096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8ffb1c-9230-4705-a789-27bae69f5829"/>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A44E8D-18C7-4F9C-B35C-7DAAD3830D1F}">
  <ds:schemaRefs>
    <ds:schemaRef ds:uri="http://www.w3.org/2001/XMLSchema"/>
    <ds:schemaRef ds:uri="http://www.boldonjames.com/2016/02/Classifier/internal/wrappedLabelHistory"/>
  </ds:schemaRefs>
</ds:datastoreItem>
</file>

<file path=customXml/itemProps3.xml><?xml version="1.0" encoding="utf-8"?>
<ds:datastoreItem xmlns:ds="http://schemas.openxmlformats.org/officeDocument/2006/customXml" ds:itemID="{11609093-5829-47F6-9843-BDEAB786E17B}">
  <ds:schemaRefs>
    <ds:schemaRef ds:uri="http://schemas.microsoft.com/office/infopath/2007/PartnerControls"/>
    <ds:schemaRef ds:uri="f88ffb1c-9230-4705-a789-27bae69f5829"/>
    <ds:schemaRef ds:uri="http://www.w3.org/XML/1998/namespace"/>
    <ds:schemaRef ds:uri="http://schemas.openxmlformats.org/package/2006/metadata/core-properties"/>
    <ds:schemaRef ds:uri="http://purl.org/dc/terms/"/>
    <ds:schemaRef ds:uri="http://purl.org/dc/dcmitype/"/>
    <ds:schemaRef ds:uri="http://schemas.microsoft.com/office/2006/documentManagement/types"/>
    <ds:schemaRef ds:uri="http://purl.org/dc/elements/1.1/"/>
    <ds:schemaRef ds:uri="b6888f76-1100-40b0-929b-1efe9044426d"/>
    <ds:schemaRef ds:uri="http://schemas.microsoft.com/office/2006/metadata/properties"/>
  </ds:schemaRefs>
</ds:datastoreItem>
</file>

<file path=customXml/itemProps4.xml><?xml version="1.0" encoding="utf-8"?>
<ds:datastoreItem xmlns:ds="http://schemas.openxmlformats.org/officeDocument/2006/customXml" ds:itemID="{90DE815B-18C6-43B5-96D5-FDFF842B2F51}">
  <ds:schemaRefs>
    <ds:schemaRef ds:uri="http://schemas.microsoft.com/sharepoint/v3/contenttype/forms"/>
  </ds:schemaRefs>
</ds:datastoreItem>
</file>

<file path=customXml/itemProps5.xml><?xml version="1.0" encoding="utf-8"?>
<ds:datastoreItem xmlns:ds="http://schemas.openxmlformats.org/officeDocument/2006/customXml" ds:itemID="{5595C9A3-CCC3-47DB-AAA5-3B047DFC220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Summary</vt:lpstr>
      <vt:lpstr>Dist Workpapers</vt:lpstr>
      <vt:lpstr>Gen Workpapers</vt:lpstr>
      <vt:lpstr>KY Additions</vt:lpstr>
      <vt:lpstr>'Dist Workpapers'!Print_Area</vt:lpstr>
      <vt:lpstr>'Gen Workpapers'!Print_Area</vt:lpstr>
    </vt:vector>
  </TitlesOfParts>
  <Manager/>
  <Company>American Electric Power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C Myers JR.</dc:creator>
  <cp:keywords>AEP Confidential</cp:keywords>
  <dc:description/>
  <cp:lastModifiedBy>Michelle Caldwell</cp:lastModifiedBy>
  <cp:revision/>
  <dcterms:created xsi:type="dcterms:W3CDTF">2024-06-27T12:20:19Z</dcterms:created>
  <dcterms:modified xsi:type="dcterms:W3CDTF">2025-09-11T15:41:14Z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4ea21f52-5816-46cf-9e24-631e7333cd51</vt:lpwstr>
  </property>
  <property fmtid="{D5CDD505-2E9C-101B-9397-08002B2CF9AE}" pid="3" name="bjClsUserRVM">
    <vt:lpwstr>[]</vt:lpwstr>
  </property>
  <property fmtid="{D5CDD505-2E9C-101B-9397-08002B2CF9AE}" pid="4" name="bjSaver">
    <vt:lpwstr>lO1O/Mtb2Vttf+oBP6kBwo8tCQC5WpKT</vt:lpwstr>
  </property>
  <property fmtid="{D5CDD505-2E9C-101B-9397-08002B2CF9AE}" pid="5" name="MSIP_Label_ca1b0da0-8f50-4f04-9edf-df46c2e35df5_SiteId">
    <vt:lpwstr>15f3c881-6b03-4ff6-8559-77bf5177818f</vt:lpwstr>
  </property>
  <property fmtid="{D5CDD505-2E9C-101B-9397-08002B2CF9AE}" pid="6" name="MSIP_Label_ca1b0da0-8f50-4f04-9edf-df46c2e35df5_Name">
    <vt:lpwstr>AEP Confidential</vt:lpwstr>
  </property>
  <property fmtid="{D5CDD505-2E9C-101B-9397-08002B2CF9AE}" pid="7" name="MSIP_Label_ca1b0da0-8f50-4f04-9edf-df46c2e35df5_Enabled">
    <vt:lpwstr>true</vt:lpwstr>
  </property>
  <property fmtid="{D5CDD505-2E9C-101B-9397-08002B2CF9AE}" pid="8" name="bjLabelHistoryID">
    <vt:lpwstr>{43A44E8D-18C7-4F9C-B35C-7DAAD3830D1F}</vt:lpwstr>
  </property>
  <property fmtid="{D5CDD505-2E9C-101B-9397-08002B2CF9AE}" pid="9" name="bjCentreFooterLabel-first">
    <vt:lpwstr>&amp;"Calibri,Regular"&amp;11&amp;B&amp;K000000AEP CONFIDENTIAL</vt:lpwstr>
  </property>
  <property fmtid="{D5CDD505-2E9C-101B-9397-08002B2CF9AE}" pid="10" name="bjCentreFooterLabel-even">
    <vt:lpwstr>&amp;"Calibri,Regular"&amp;11&amp;B&amp;K000000AEP CONFIDENTIAL</vt:lpwstr>
  </property>
  <property fmtid="{D5CDD505-2E9C-101B-9397-08002B2CF9AE}" pid="11" name="bjCentreFooterLabel">
    <vt:lpwstr>&amp;"Calibri,Regular"&amp;11&amp;B&amp;K000000AEP CONFIDENTIAL</vt:lpwstr>
  </property>
  <property fmtid="{D5CDD505-2E9C-101B-9397-08002B2CF9AE}" pid="12" name="ContentTypeId">
    <vt:lpwstr>0x0101004DF805D1E1DA4A49A223477D3B105720</vt:lpwstr>
  </property>
  <property fmtid="{D5CDD505-2E9C-101B-9397-08002B2CF9AE}" pid="13" name="{A44787D4-0540-4523-9961-78E4036D8C6D}">
    <vt:lpwstr>{660F98D5-19F0-4942-8B84-4ECE09D45C94}</vt:lpwstr>
  </property>
  <property fmtid="{D5CDD505-2E9C-101B-9397-08002B2CF9AE}" pid="14" name="MediaServiceImageTags">
    <vt:lpwstr/>
  </property>
  <property fmtid="{D5CDD505-2E9C-101B-9397-08002B2CF9AE}" pid="15"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6" name="bjDocumentLabelXML-0">
    <vt:lpwstr>ames.com/2008/01/sie/internal/label"&gt;&lt;element uid="1f6a98d5-4e6a-406f-8258-3f07b61a1b98" value="" /&gt;&lt;element uid="b760ada5-12be-4a99-9c58-e38655787e33" value="" /&gt;&lt;element uid="47257598-0c82-4402-9022-dc13d54aaf53" value="" /&gt;&lt;element uid="d14f5c36-f44a-4</vt:lpwstr>
  </property>
  <property fmtid="{D5CDD505-2E9C-101B-9397-08002B2CF9AE}" pid="17" name="bjDocumentLabelXML-1">
    <vt:lpwstr>315-b438-005cfe8f069f" value="" /&gt;&lt;/sisl&gt;</vt:lpwstr>
  </property>
  <property fmtid="{D5CDD505-2E9C-101B-9397-08002B2CF9AE}" pid="18" name="bjDocumentSecurityLabel">
    <vt:lpwstr>AEP Confidential</vt:lpwstr>
  </property>
  <property fmtid="{D5CDD505-2E9C-101B-9397-08002B2CF9AE}" pid="19" name="MSIP_Label_85f73bb4-fdd9-4d27-8bad-8de5101a60b4_SiteId">
    <vt:lpwstr>15f3c881-6b03-4ff6-8559-77bf5177818f</vt:lpwstr>
  </property>
  <property fmtid="{D5CDD505-2E9C-101B-9397-08002B2CF9AE}" pid="20" name="MSIP_Label_85f73bb4-fdd9-4d27-8bad-8de5101a60b4_Name">
    <vt:lpwstr>Confidential [C]</vt:lpwstr>
  </property>
  <property fmtid="{D5CDD505-2E9C-101B-9397-08002B2CF9AE}" pid="21" name="MSIP_Label_85f73bb4-fdd9-4d27-8bad-8de5101a60b4_Enabled">
    <vt:lpwstr>true</vt:lpwstr>
  </property>
</Properties>
</file>