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0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icing\Rate Cases\KPCo\2025 Base Case - TME 5-31-25 TY\Discovery\Rehearing Set 1\1-2\"/>
    </mc:Choice>
  </mc:AlternateContent>
  <xr:revisionPtr revIDLastSave="0" documentId="13_ncr:1_{49CBCF87-4620-41C9-9D0B-888A125ABE09}" xr6:coauthVersionLast="47" xr6:coauthVersionMax="47" xr10:uidLastSave="{00000000-0000-0000-0000-000000000000}"/>
  <bookViews>
    <workbookView xWindow="28680" yWindow="-120" windowWidth="38640" windowHeight="21120" tabRatio="891" xr2:uid="{00000000-000D-0000-FFFF-FFFF00000000}"/>
  </bookViews>
  <sheets>
    <sheet name="Summary" sheetId="8" r:id="rId1"/>
    <sheet name="Adjustment" sheetId="4" r:id="rId2"/>
    <sheet name="ADJ-Calc 2025" sheetId="1" r:id="rId3"/>
    <sheet name="ADJ-Calc 2026" sheetId="12" r:id="rId4"/>
    <sheet name="ADJ-Calc 2026 V2" sheetId="13" r:id="rId5"/>
    <sheet name="2025 Rates" sheetId="3" r:id="rId6"/>
    <sheet name="2026 Rates" sheetId="11" r:id="rId7"/>
    <sheet name="Zonal Rates 2025" sheetId="5" r:id="rId8"/>
    <sheet name="TransCo PJM Zonal Rates 2025" sheetId="6" r:id="rId9"/>
    <sheet name="Zonal Rates - 2026" sheetId="9" r:id="rId10"/>
    <sheet name="TransCo PJM Zonal Rates 2026" sheetId="10" r:id="rId11"/>
    <sheet name="Actual Jan - April 2026" sheetId="14" r:id="rId12"/>
  </sheets>
  <externalReferences>
    <externalReference r:id="rId13"/>
    <externalReference r:id="rId14"/>
  </externalReferences>
  <definedNames>
    <definedName name="ActExcessAmt" localSheetId="8">#REF!</definedName>
    <definedName name="ActExcessAmt">#REF!</definedName>
    <definedName name="ActGrTaxAmt" localSheetId="8">#REF!</definedName>
    <definedName name="ActGrTaxAmt">#REF!</definedName>
    <definedName name="ActKWHExcess" localSheetId="8">#REF!</definedName>
    <definedName name="ActKWHExcess">#REF!</definedName>
    <definedName name="ActKWHNotUsed" localSheetId="8">#REF!</definedName>
    <definedName name="ActKWHNotUsed">#REF!</definedName>
    <definedName name="ActKWHRes" localSheetId="8">#REF!</definedName>
    <definedName name="ActKWHRes">#REF!</definedName>
    <definedName name="ActKWHSubTot" localSheetId="8">#REF!</definedName>
    <definedName name="ActKWHSubTot">#REF!</definedName>
    <definedName name="ActKWHTot" localSheetId="8">#REF!</definedName>
    <definedName name="ActKWHTot">#REF!</definedName>
    <definedName name="ActNotUsedAmt" localSheetId="8">#REF!</definedName>
    <definedName name="ActNotUsedAmt">#REF!</definedName>
    <definedName name="ActResAmt" localSheetId="8">#REF!</definedName>
    <definedName name="ActResAmt">#REF!</definedName>
    <definedName name="ActSubTotAmt" localSheetId="8">#REF!</definedName>
    <definedName name="ActSubTotAmt">#REF!</definedName>
    <definedName name="ActTotAmt" localSheetId="8">#REF!</definedName>
    <definedName name="ActTotAmt">#REF!</definedName>
    <definedName name="AdminChg" localSheetId="8">#REF!</definedName>
    <definedName name="AdminChg">#REF!</definedName>
    <definedName name="AEP" localSheetId="8">#REF!</definedName>
    <definedName name="AEP">#REF!</definedName>
    <definedName name="APCO" localSheetId="8">#REF!</definedName>
    <definedName name="APCO">#REF!</definedName>
    <definedName name="AVRGPWRFCTR" localSheetId="8">#REF!</definedName>
    <definedName name="AVRGPWRFCTR">#REF!</definedName>
    <definedName name="B1HRSCRMO" localSheetId="8">#REF!</definedName>
    <definedName name="B1HRSCRMO">#REF!</definedName>
    <definedName name="B2HRSCRMO" localSheetId="8">#REF!</definedName>
    <definedName name="B2HRSCRMO">#REF!</definedName>
    <definedName name="BASERATECHG" localSheetId="8">#REF!</definedName>
    <definedName name="BASERATECHG">#REF!</definedName>
    <definedName name="BILLKWH" localSheetId="8">#REF!</definedName>
    <definedName name="BILLKWH">#REF!</definedName>
    <definedName name="BIRPCCHG" localSheetId="8">#REF!</definedName>
    <definedName name="BIRPCCHG">#REF!</definedName>
    <definedName name="BIRPDCHG1" localSheetId="8">#REF!</definedName>
    <definedName name="BIRPDCHG1">#REF!</definedName>
    <definedName name="BIRPDCHG2" localSheetId="8">#REF!</definedName>
    <definedName name="BIRPDCHG2">#REF!</definedName>
    <definedName name="BIRPECHG1" localSheetId="8">#REF!</definedName>
    <definedName name="BIRPECHG1">#REF!</definedName>
    <definedName name="BIRPECHGB1" localSheetId="8">#REF!</definedName>
    <definedName name="BIRPECHGB1">#REF!</definedName>
    <definedName name="BIRPECHGB2" localSheetId="8">#REF!</definedName>
    <definedName name="BIRPECHGB2">#REF!</definedName>
    <definedName name="BIRPECHGB3" localSheetId="8">#REF!</definedName>
    <definedName name="BIRPECHGB3">#REF!</definedName>
    <definedName name="BIRPECHGW" localSheetId="8">#REF!</definedName>
    <definedName name="BIRPECHGW">#REF!</definedName>
    <definedName name="BIRPKWH1" localSheetId="8">#REF!</definedName>
    <definedName name="BIRPKWH1">#REF!</definedName>
    <definedName name="BIRPKWHB1" localSheetId="8">#REF!</definedName>
    <definedName name="BIRPKWHB1">#REF!</definedName>
    <definedName name="BIRPKWHB2" localSheetId="8">#REF!</definedName>
    <definedName name="BIRPKWHB2">#REF!</definedName>
    <definedName name="BIRPKWHB3" localSheetId="8">#REF!</definedName>
    <definedName name="BIRPKWHB3">#REF!</definedName>
    <definedName name="BIRPKWHWH" localSheetId="8">#REF!</definedName>
    <definedName name="BIRPKWHWH">#REF!</definedName>
    <definedName name="BIRPMECHG1" localSheetId="8">#REF!</definedName>
    <definedName name="BIRPMECHG1">#REF!</definedName>
    <definedName name="BIRPOFKWH" localSheetId="8">#REF!</definedName>
    <definedName name="BIRPOFKWH">#REF!</definedName>
    <definedName name="BIRPOPKWH" localSheetId="8">#REF!</definedName>
    <definedName name="BIRPOPKWH">#REF!</definedName>
    <definedName name="BIRPP1EC" localSheetId="8">#REF!</definedName>
    <definedName name="BIRPP1EC">#REF!</definedName>
    <definedName name="BIRPP2EC" localSheetId="8">#REF!</definedName>
    <definedName name="BIRPP2EC">#REF!</definedName>
    <definedName name="BIRPP3EC" localSheetId="8">#REF!</definedName>
    <definedName name="BIRPP3EC">#REF!</definedName>
    <definedName name="BIRPP4EC" localSheetId="8">#REF!</definedName>
    <definedName name="BIRPP4EC">#REF!</definedName>
    <definedName name="BIRPP5EC" localSheetId="8">#REF!</definedName>
    <definedName name="BIRPP5EC">#REF!</definedName>
    <definedName name="BIRPPDMDCHG" localSheetId="8">#REF!</definedName>
    <definedName name="BIRPPDMDCHG">#REF!</definedName>
    <definedName name="BIRPRCHG" localSheetId="8">#REF!</definedName>
    <definedName name="BIRPRCHG">#REF!</definedName>
    <definedName name="BIRPXKVA" localSheetId="8">#REF!</definedName>
    <definedName name="BIRPXKVA">#REF!</definedName>
    <definedName name="BIRPXKVAPCT" localSheetId="8">#REF!</definedName>
    <definedName name="BIRPXKVAPCT">#REF!</definedName>
    <definedName name="BIRPXOFKW" localSheetId="8">#REF!</definedName>
    <definedName name="BIRPXOFKW">#REF!</definedName>
    <definedName name="BKUPKWH" localSheetId="8">#REF!</definedName>
    <definedName name="BKUPKWH">#REF!</definedName>
    <definedName name="BLDAMNT" localSheetId="8">#REF!</definedName>
    <definedName name="BLDAMNT">#REF!</definedName>
    <definedName name="BLDDMND" localSheetId="8">#REF!</definedName>
    <definedName name="BLDDMND">#REF!</definedName>
    <definedName name="BLDKWH" localSheetId="8">#REF!</definedName>
    <definedName name="BLDKWH">#REF!</definedName>
    <definedName name="BLDOPDMND" localSheetId="8">#REF!</definedName>
    <definedName name="BLDOPDMND">#REF!</definedName>
    <definedName name="BLNGKWB4EDR" localSheetId="8">#REF!</definedName>
    <definedName name="BLNGKWB4EDR">#REF!</definedName>
    <definedName name="BLNGKWH" localSheetId="8">#REF!</definedName>
    <definedName name="BLNGKWH">#REF!</definedName>
    <definedName name="BLNGKWHTTL" localSheetId="8">#REF!</definedName>
    <definedName name="BLNGKWHTTL">#REF!</definedName>
    <definedName name="BndBlkKwh1" localSheetId="8">#REF!</definedName>
    <definedName name="BndBlkKwh1">#REF!</definedName>
    <definedName name="BndBlkKwh2" localSheetId="8">#REF!</definedName>
    <definedName name="BndBlkKwh2">#REF!</definedName>
    <definedName name="BndBlkKwh3" localSheetId="8">#REF!</definedName>
    <definedName name="BndBlkKwh3">#REF!</definedName>
    <definedName name="BndBlkKwhChg1" localSheetId="8">#REF!</definedName>
    <definedName name="BndBlkKwhChg1">#REF!</definedName>
    <definedName name="BndBlkKwhChg2" localSheetId="8">#REF!</definedName>
    <definedName name="BndBlkKwhChg2">#REF!</definedName>
    <definedName name="BndBlkKwhChg3" localSheetId="8">#REF!</definedName>
    <definedName name="BndBlkKwhChg3">#REF!</definedName>
    <definedName name="BndBlkKwhChgT" localSheetId="8">#REF!</definedName>
    <definedName name="BndBlkKwhChgT">#REF!</definedName>
    <definedName name="BndBlkKwhChgW" localSheetId="8">#REF!</definedName>
    <definedName name="BndBlkKwhChgW">#REF!</definedName>
    <definedName name="BndBlkKwhT" localSheetId="8">#REF!</definedName>
    <definedName name="BndBlkKwhT">#REF!</definedName>
    <definedName name="BndBlkKwhW" localSheetId="8">#REF!</definedName>
    <definedName name="BndBlkKwhW">#REF!</definedName>
    <definedName name="BndCustChg" localSheetId="8">#REF!</definedName>
    <definedName name="BndCustChg">#REF!</definedName>
    <definedName name="BndDmdChg1" localSheetId="8">#REF!</definedName>
    <definedName name="BndDmdChg1">#REF!</definedName>
    <definedName name="BndDmdChg2" localSheetId="8">#REF!</definedName>
    <definedName name="BndDmdChg2">#REF!</definedName>
    <definedName name="BndExcsKvaPct" localSheetId="8">#REF!</definedName>
    <definedName name="BndExcsKvaPct">#REF!</definedName>
    <definedName name="BndMEChg" localSheetId="8">#REF!</definedName>
    <definedName name="BndMEChg">#REF!</definedName>
    <definedName name="BndOffPkKwh" localSheetId="8">#REF!</definedName>
    <definedName name="BndOffPkKwh">#REF!</definedName>
    <definedName name="BndOnPkKwh" localSheetId="8">#REF!</definedName>
    <definedName name="BndOnPkKwh">#REF!</definedName>
    <definedName name="BndPL1Chg" localSheetId="8">#REF!</definedName>
    <definedName name="BndPL1Chg">#REF!</definedName>
    <definedName name="BndPL2Chg" localSheetId="8">#REF!</definedName>
    <definedName name="BndPL2Chg">#REF!</definedName>
    <definedName name="BndPL3Chg" localSheetId="8">#REF!</definedName>
    <definedName name="BndPL3Chg">#REF!</definedName>
    <definedName name="BndPL4Chg" localSheetId="8">#REF!</definedName>
    <definedName name="BndPL4Chg">#REF!</definedName>
    <definedName name="BndPL5Chg" localSheetId="8">#REF!</definedName>
    <definedName name="BndPL5Chg">#REF!</definedName>
    <definedName name="BndReactiveChg" localSheetId="8">#REF!</definedName>
    <definedName name="BndReactiveChg">#REF!</definedName>
    <definedName name="BndXOfpKvaChg" localSheetId="8">#REF!</definedName>
    <definedName name="BndXOfpKvaChg">#REF!</definedName>
    <definedName name="BndXOfpKwChg" localSheetId="8">#REF!</definedName>
    <definedName name="BndXOfpKwChg">#REF!</definedName>
    <definedName name="BTTrueUp" localSheetId="8">#REF!</definedName>
    <definedName name="BTTrueUp">#REF!</definedName>
    <definedName name="BUNCCHG" localSheetId="8">#REF!</definedName>
    <definedName name="BUNCCHG">#REF!</definedName>
    <definedName name="BUNDCHG1" localSheetId="8">#REF!</definedName>
    <definedName name="BUNDCHG1">#REF!</definedName>
    <definedName name="BUNDCHG2" localSheetId="8">#REF!</definedName>
    <definedName name="BUNDCHG2">#REF!</definedName>
    <definedName name="BUNECHG1" localSheetId="8">#REF!</definedName>
    <definedName name="BUNECHG1">#REF!</definedName>
    <definedName name="BUNECHGB1" localSheetId="8">#REF!</definedName>
    <definedName name="BUNECHGB1">#REF!</definedName>
    <definedName name="BUNECHGB2" localSheetId="8">#REF!</definedName>
    <definedName name="BUNECHGB2">#REF!</definedName>
    <definedName name="BUNECHGB3" localSheetId="8">#REF!</definedName>
    <definedName name="BUNECHGB3">#REF!</definedName>
    <definedName name="BUNECHGW" localSheetId="8">#REF!</definedName>
    <definedName name="BUNECHGW">#REF!</definedName>
    <definedName name="BUNKWH1" localSheetId="8">#REF!</definedName>
    <definedName name="BUNKWH1">#REF!</definedName>
    <definedName name="BUNKWHB1" localSheetId="8">#REF!</definedName>
    <definedName name="BUNKWHB1">#REF!</definedName>
    <definedName name="BUNKWHB2" localSheetId="8">#REF!</definedName>
    <definedName name="BUNKWHB2">#REF!</definedName>
    <definedName name="BUNKWHB3" localSheetId="8">#REF!</definedName>
    <definedName name="BUNKWHB3">#REF!</definedName>
    <definedName name="BUNKWHWH" localSheetId="8">#REF!</definedName>
    <definedName name="BUNKWHWH">#REF!</definedName>
    <definedName name="BUNMECHG1" localSheetId="8">#REF!</definedName>
    <definedName name="BUNMECHG1">#REF!</definedName>
    <definedName name="BUNOFKWH" localSheetId="8">#REF!</definedName>
    <definedName name="BUNOFKWH">#REF!</definedName>
    <definedName name="BUNOPKWH" localSheetId="8">#REF!</definedName>
    <definedName name="BUNOPKWH">#REF!</definedName>
    <definedName name="BUNP1EC" localSheetId="8">#REF!</definedName>
    <definedName name="BUNP1EC">#REF!</definedName>
    <definedName name="BUNP2EC" localSheetId="8">#REF!</definedName>
    <definedName name="BUNP2EC">#REF!</definedName>
    <definedName name="BUNP3EC" localSheetId="8">#REF!</definedName>
    <definedName name="BUNP3EC">#REF!</definedName>
    <definedName name="BUNP4EC" localSheetId="8">#REF!</definedName>
    <definedName name="BUNP4EC">#REF!</definedName>
    <definedName name="BUNP5EC" localSheetId="8">#REF!</definedName>
    <definedName name="BUNP5EC">#REF!</definedName>
    <definedName name="BUNPDMDCHG" localSheetId="8">#REF!</definedName>
    <definedName name="BUNPDMDCHG">#REF!</definedName>
    <definedName name="BUNRCHG" localSheetId="8">#REF!</definedName>
    <definedName name="BUNRCHG">#REF!</definedName>
    <definedName name="BUNXKVA" localSheetId="8">#REF!</definedName>
    <definedName name="BUNXKVA">#REF!</definedName>
    <definedName name="BUNXKVAPCT" localSheetId="8">#REF!</definedName>
    <definedName name="BUNXKVAPCT">#REF!</definedName>
    <definedName name="BUNXOFKW" localSheetId="8">#REF!</definedName>
    <definedName name="BUNXOFKW">#REF!</definedName>
    <definedName name="CALCPFCC" localSheetId="8">#REF!</definedName>
    <definedName name="CALCPFCC">#REF!</definedName>
    <definedName name="CAPDEFA" localSheetId="8">#REF!</definedName>
    <definedName name="CAPDEFA">#REF!</definedName>
    <definedName name="CBLKWH" localSheetId="8">#REF!</definedName>
    <definedName name="CBLKWH">#REF!</definedName>
    <definedName name="City" localSheetId="8">#REF!</definedName>
    <definedName name="City">#REF!</definedName>
    <definedName name="CNTRCTDMND" localSheetId="8">#REF!</definedName>
    <definedName name="CNTRCTDMND">#REF!</definedName>
    <definedName name="CoPhoneLine" localSheetId="8">#REF!</definedName>
    <definedName name="CoPhoneLine">#REF!</definedName>
    <definedName name="CRMOINTRPTHRS" localSheetId="8">#REF!</definedName>
    <definedName name="CRMOINTRPTHRS">#REF!</definedName>
    <definedName name="CRNTMOBTKWH" localSheetId="8">#REF!</definedName>
    <definedName name="CRNTMOBTKWH">#REF!</definedName>
    <definedName name="CRNTMOFPKHRS" localSheetId="8">#REF!</definedName>
    <definedName name="CRNTMOFPKHRS">#REF!</definedName>
    <definedName name="CRNTMONPKHRS" localSheetId="8">#REF!</definedName>
    <definedName name="CRNTMONPKHRS">#REF!</definedName>
    <definedName name="CRTLBLONPKHRS" localSheetId="8">#REF!</definedName>
    <definedName name="CRTLBLONPKHRS">#REF!</definedName>
    <definedName name="CRTLBLONPKKWH" localSheetId="8">#REF!</definedName>
    <definedName name="CRTLBLONPKKWH">#REF!</definedName>
    <definedName name="CSTMRCHG" localSheetId="8">#REF!</definedName>
    <definedName name="CSTMRCHG">#REF!</definedName>
    <definedName name="CurMoAddr1" localSheetId="8">#REF!</definedName>
    <definedName name="CurMoAddr1">#REF!</definedName>
    <definedName name="CurMoAddr2" localSheetId="8">#REF!</definedName>
    <definedName name="CurMoAddr2">#REF!</definedName>
    <definedName name="CurMoBTDetail" localSheetId="8">#REF!</definedName>
    <definedName name="CurMoBTDetail">#REF!</definedName>
    <definedName name="CurMoBuyThrgh_Sheet" localSheetId="8">#REF!</definedName>
    <definedName name="CurMoBuyThrgh_Sheet">#REF!</definedName>
    <definedName name="CurMoCityStZip" localSheetId="8">#REF!</definedName>
    <definedName name="CurMoCityStZip">#REF!</definedName>
    <definedName name="CurMoCustName" localSheetId="8">#REF!</definedName>
    <definedName name="CurMoCustName">#REF!</definedName>
    <definedName name="CurMoExcessAmt" localSheetId="8">#REF!</definedName>
    <definedName name="CurMoExcessAmt">#REF!</definedName>
    <definedName name="CurMoGrTaxAmt" localSheetId="8">#REF!</definedName>
    <definedName name="CurMoGrTaxAmt">#REF!</definedName>
    <definedName name="CurMoKWHExcess" localSheetId="8">#REF!</definedName>
    <definedName name="CurMoKWHExcess">#REF!</definedName>
    <definedName name="CurMoKWHNotUsed" localSheetId="8">#REF!</definedName>
    <definedName name="CurMoKWHNotUsed">#REF!</definedName>
    <definedName name="CurMoKWHRes" localSheetId="8">#REF!</definedName>
    <definedName name="CurMoKWHRes">#REF!</definedName>
    <definedName name="CurMoKWHSubTot" localSheetId="8">#REF!</definedName>
    <definedName name="CurMoKWHSubTot">#REF!</definedName>
    <definedName name="CurMoKWHTot" localSheetId="8">#REF!</definedName>
    <definedName name="CurMoKWHTot">#REF!</definedName>
    <definedName name="CurMoMtrMult" localSheetId="8">#REF!</definedName>
    <definedName name="CurMoMtrMult">#REF!</definedName>
    <definedName name="CurMoNotUsedAmt" localSheetId="8">#REF!</definedName>
    <definedName name="CurMoNotUsedAmt">#REF!</definedName>
    <definedName name="CurMoResAmt" localSheetId="8">#REF!</definedName>
    <definedName name="CurMoResAmt">#REF!</definedName>
    <definedName name="CurMoSubTotAmt" localSheetId="8">#REF!</definedName>
    <definedName name="CurMoSubTotAmt">#REF!</definedName>
    <definedName name="CurMoTotAmt" localSheetId="8">#REF!</definedName>
    <definedName name="CurMoTotAmt">#REF!</definedName>
    <definedName name="CustAddr1" localSheetId="8">#REF!</definedName>
    <definedName name="CustAddr1">#REF!</definedName>
    <definedName name="CustAddr2" localSheetId="8">#REF!</definedName>
    <definedName name="CustAddr2">#REF!</definedName>
    <definedName name="CustCityStZip" localSheetId="8">#REF!</definedName>
    <definedName name="CustCityStZip">#REF!</definedName>
    <definedName name="CustName2" localSheetId="8">#REF!</definedName>
    <definedName name="CustName2">#REF!</definedName>
    <definedName name="CustTable" localSheetId="8">#REF!</definedName>
    <definedName name="CustTable">#REF!</definedName>
    <definedName name="DetailTotCbl" localSheetId="8">#REF!</definedName>
    <definedName name="DetailTotCbl">#REF!</definedName>
    <definedName name="DetailTotChg" localSheetId="8">#REF!</definedName>
    <definedName name="DetailTotChg">#REF!</definedName>
    <definedName name="DetailTotKw" localSheetId="8">#REF!</definedName>
    <definedName name="DetailTotKw">#REF!</definedName>
    <definedName name="DetailTotMargin" localSheetId="8">#REF!</definedName>
    <definedName name="DetailTotMargin">#REF!</definedName>
    <definedName name="DIRPCCHG" localSheetId="8">#REF!</definedName>
    <definedName name="DIRPCCHG">#REF!</definedName>
    <definedName name="DIRPDCHG1" localSheetId="8">#REF!</definedName>
    <definedName name="DIRPDCHG1">#REF!</definedName>
    <definedName name="DIRPDCHG2" localSheetId="8">#REF!</definedName>
    <definedName name="DIRPDCHG2">#REF!</definedName>
    <definedName name="DIRPECHG1" localSheetId="8">#REF!</definedName>
    <definedName name="DIRPECHG1">#REF!</definedName>
    <definedName name="DIRPECHGB1" localSheetId="8">#REF!</definedName>
    <definedName name="DIRPECHGB1">#REF!</definedName>
    <definedName name="DIRPECHGB2" localSheetId="8">#REF!</definedName>
    <definedName name="DIRPECHGB2">#REF!</definedName>
    <definedName name="DIRPECHGB3" localSheetId="8">#REF!</definedName>
    <definedName name="DIRPECHGB3">#REF!</definedName>
    <definedName name="DIRPMECHG1" localSheetId="8">#REF!</definedName>
    <definedName name="DIRPMECHG1">#REF!</definedName>
    <definedName name="DIRPMINDC" localSheetId="8">#REF!</definedName>
    <definedName name="DIRPMINDC">#REF!</definedName>
    <definedName name="DIRPMINEC" localSheetId="8">#REF!</definedName>
    <definedName name="DIRPMINEC">#REF!</definedName>
    <definedName name="DIRPOFKVA" localSheetId="8">#REF!</definedName>
    <definedName name="DIRPOFKVA">#REF!</definedName>
    <definedName name="DIRPOFKW" localSheetId="8">#REF!</definedName>
    <definedName name="DIRPOFKW">#REF!</definedName>
    <definedName name="DIRPOFKWH" localSheetId="8">#REF!</definedName>
    <definedName name="DIRPOFKWH">#REF!</definedName>
    <definedName name="DIRPOPKWH" localSheetId="8">#REF!</definedName>
    <definedName name="DIRPOPKWH">#REF!</definedName>
    <definedName name="DIRPP1EC" localSheetId="8">#REF!</definedName>
    <definedName name="DIRPP1EC">#REF!</definedName>
    <definedName name="DIRPP2EC" localSheetId="8">#REF!</definedName>
    <definedName name="DIRPP2EC">#REF!</definedName>
    <definedName name="DIRPP3EC" localSheetId="8">#REF!</definedName>
    <definedName name="DIRPP3EC">#REF!</definedName>
    <definedName name="DIRPP4EC" localSheetId="8">#REF!</definedName>
    <definedName name="DIRPP4EC">#REF!</definedName>
    <definedName name="DIRPP5EC" localSheetId="8">#REF!</definedName>
    <definedName name="DIRPP5EC">#REF!</definedName>
    <definedName name="DIRPRCHG" localSheetId="8">#REF!</definedName>
    <definedName name="DIRPRCHG">#REF!</definedName>
    <definedName name="DisBlkKwhChg1" localSheetId="8">#REF!</definedName>
    <definedName name="DisBlkKwhChg1">#REF!</definedName>
    <definedName name="DisBlkKwhChg2" localSheetId="8">#REF!</definedName>
    <definedName name="DisBlkKwhChg2">#REF!</definedName>
    <definedName name="DisBlkKwhChg3" localSheetId="8">#REF!</definedName>
    <definedName name="DisBlkKwhChg3">#REF!</definedName>
    <definedName name="DisBlkKwhChgT" localSheetId="8">#REF!</definedName>
    <definedName name="DisBlkKwhChgT">#REF!</definedName>
    <definedName name="DisCustChg" localSheetId="8">#REF!</definedName>
    <definedName name="DisCustChg">#REF!</definedName>
    <definedName name="DisDmdChg1" localSheetId="8">#REF!</definedName>
    <definedName name="DisDmdChg1">#REF!</definedName>
    <definedName name="DisDmdChg2" localSheetId="8">#REF!</definedName>
    <definedName name="DisDmdChg2">#REF!</definedName>
    <definedName name="DisMEChg" localSheetId="8">#REF!</definedName>
    <definedName name="DisMEChg">#REF!</definedName>
    <definedName name="DisMinDChg" localSheetId="8">#REF!</definedName>
    <definedName name="DisMinDChg">#REF!</definedName>
    <definedName name="DisMinEChg" localSheetId="8">#REF!</definedName>
    <definedName name="DisMinEChg">#REF!</definedName>
    <definedName name="DisOffPkKwh" localSheetId="8">#REF!</definedName>
    <definedName name="DisOffPkKwh">#REF!</definedName>
    <definedName name="DisOnPkKwh" localSheetId="8">#REF!</definedName>
    <definedName name="DisOnPkKwh">#REF!</definedName>
    <definedName name="DisPL1Chg" localSheetId="8">#REF!</definedName>
    <definedName name="DisPL1Chg">#REF!</definedName>
    <definedName name="DisPL2Chg" localSheetId="8">#REF!</definedName>
    <definedName name="DisPL2Chg">#REF!</definedName>
    <definedName name="DisPL3Chg" localSheetId="8">#REF!</definedName>
    <definedName name="DisPL3Chg">#REF!</definedName>
    <definedName name="DisPL4Chg" localSheetId="8">#REF!</definedName>
    <definedName name="DisPL4Chg">#REF!</definedName>
    <definedName name="DisPL5Chg" localSheetId="8">#REF!</definedName>
    <definedName name="DisPL5Chg">#REF!</definedName>
    <definedName name="DisReactiveChg" localSheetId="8">#REF!</definedName>
    <definedName name="DisReactiveChg">#REF!</definedName>
    <definedName name="DisXOfpKvaChg" localSheetId="8">#REF!</definedName>
    <definedName name="DisXOfpKvaChg">#REF!</definedName>
    <definedName name="DisXOfpKwChg" localSheetId="8">#REF!</definedName>
    <definedName name="DisXOfpKwChg">#REF!</definedName>
    <definedName name="DSTCCHG" localSheetId="8">#REF!</definedName>
    <definedName name="DSTCCHG">#REF!</definedName>
    <definedName name="DSTDCHG1" localSheetId="8">#REF!</definedName>
    <definedName name="DSTDCHG1">#REF!</definedName>
    <definedName name="DSTDCHG2" localSheetId="8">#REF!</definedName>
    <definedName name="DSTDCHG2">#REF!</definedName>
    <definedName name="DSTECHG1" localSheetId="8">#REF!</definedName>
    <definedName name="DSTECHG1">#REF!</definedName>
    <definedName name="DSTECHGB1" localSheetId="8">#REF!</definedName>
    <definedName name="DSTECHGB1">#REF!</definedName>
    <definedName name="DSTECHGB2" localSheetId="8">#REF!</definedName>
    <definedName name="DSTECHGB2">#REF!</definedName>
    <definedName name="DSTECHGB3" localSheetId="8">#REF!</definedName>
    <definedName name="DSTECHGB3">#REF!</definedName>
    <definedName name="DSTMECHG1" localSheetId="8">#REF!</definedName>
    <definedName name="DSTMECHG1">#REF!</definedName>
    <definedName name="DSTMINDC" localSheetId="8">#REF!</definedName>
    <definedName name="DSTMINDC">#REF!</definedName>
    <definedName name="DSTMINEC" localSheetId="8">#REF!</definedName>
    <definedName name="DSTMINEC">#REF!</definedName>
    <definedName name="DSTOFKWH" localSheetId="8">#REF!</definedName>
    <definedName name="DSTOFKWH">#REF!</definedName>
    <definedName name="DSTOPKWH" localSheetId="8">#REF!</definedName>
    <definedName name="DSTOPKWH">#REF!</definedName>
    <definedName name="DSTP1EC" localSheetId="8">#REF!</definedName>
    <definedName name="DSTP1EC">#REF!</definedName>
    <definedName name="DSTP2EC" localSheetId="8">#REF!</definedName>
    <definedName name="DSTP2EC">#REF!</definedName>
    <definedName name="DSTP3EC" localSheetId="8">#REF!</definedName>
    <definedName name="DSTP3EC">#REF!</definedName>
    <definedName name="DSTP4EC" localSheetId="8">#REF!</definedName>
    <definedName name="DSTP4EC">#REF!</definedName>
    <definedName name="DSTP5EC" localSheetId="8">#REF!</definedName>
    <definedName name="DSTP5EC">#REF!</definedName>
    <definedName name="DSTRCHG" localSheetId="8">#REF!</definedName>
    <definedName name="DSTRCHG">#REF!</definedName>
    <definedName name="DSTXOFKVA" localSheetId="8">#REF!</definedName>
    <definedName name="DSTXOFKVA">#REF!</definedName>
    <definedName name="DSTXOFKW" localSheetId="8">#REF!</definedName>
    <definedName name="DSTXOFKW">#REF!</definedName>
    <definedName name="EDRBASE" localSheetId="8">#REF!</definedName>
    <definedName name="EDRBASE">#REF!</definedName>
    <definedName name="EDRDATE" localSheetId="8">#REF!</definedName>
    <definedName name="EDRDATE">#REF!</definedName>
    <definedName name="EDRDSCNT" localSheetId="8">#REF!</definedName>
    <definedName name="EDRDSCNT">#REF!</definedName>
    <definedName name="EDRLVLPCT" localSheetId="8">#REF!</definedName>
    <definedName name="EDRLVLPCT">#REF!</definedName>
    <definedName name="EDRTYPE" localSheetId="8">#REF!</definedName>
    <definedName name="EDRTYPE">#REF!</definedName>
    <definedName name="EffDate" localSheetId="8">#REF!</definedName>
    <definedName name="EffDate">#REF!</definedName>
    <definedName name="ELKMCGN1" localSheetId="8">#REF!</definedName>
    <definedName name="ELKMCGN1">#REF!</definedName>
    <definedName name="ELKMCGN2" localSheetId="8">#REF!</definedName>
    <definedName name="ELKMCGN2">#REF!</definedName>
    <definedName name="End_of_Report">#REF!</definedName>
    <definedName name="ENDDTM" localSheetId="8">#REF!</definedName>
    <definedName name="ENDDTM">#REF!</definedName>
    <definedName name="ENDTIME" localSheetId="8">#REF!</definedName>
    <definedName name="ENDTIME">#REF!</definedName>
    <definedName name="EstExcessAmt" localSheetId="8">#REF!</definedName>
    <definedName name="EstExcessAmt">#REF!</definedName>
    <definedName name="EstGrTaxAmt" localSheetId="8">#REF!</definedName>
    <definedName name="EstGrTaxAmt">#REF!</definedName>
    <definedName name="EstKWHExcess" localSheetId="8">#REF!</definedName>
    <definedName name="EstKWHExcess">#REF!</definedName>
    <definedName name="EstKWHNotUsed" localSheetId="8">#REF!</definedName>
    <definedName name="EstKWHNotUsed">#REF!</definedName>
    <definedName name="EstKWHRes" localSheetId="8">#REF!</definedName>
    <definedName name="EstKWHRes">#REF!</definedName>
    <definedName name="EstKWHSubTot" localSheetId="8">#REF!</definedName>
    <definedName name="EstKWHSubTot">#REF!</definedName>
    <definedName name="EstKWHTot" localSheetId="8">#REF!</definedName>
    <definedName name="EstKWHTot">#REF!</definedName>
    <definedName name="EstNotUsedAmt" localSheetId="8">#REF!</definedName>
    <definedName name="EstNotUsedAmt">#REF!</definedName>
    <definedName name="EstResAmt" localSheetId="8">#REF!</definedName>
    <definedName name="EstResAmt">#REF!</definedName>
    <definedName name="EstSubTotAmt" localSheetId="8">#REF!</definedName>
    <definedName name="EstSubTotAmt">#REF!</definedName>
    <definedName name="EstTotAmt" localSheetId="8">#REF!</definedName>
    <definedName name="EstTotAmt">#REF!</definedName>
    <definedName name="EXCSKVACHG" localSheetId="8">#REF!</definedName>
    <definedName name="EXCSKVACHG">#REF!</definedName>
    <definedName name="EXCSKVADMND" localSheetId="8">#REF!</definedName>
    <definedName name="EXCSKVADMND">#REF!</definedName>
    <definedName name="EXCSKVAR" localSheetId="8">#REF!</definedName>
    <definedName name="EXCSKVAR">#REF!</definedName>
    <definedName name="FIRMKWH" localSheetId="8">#REF!</definedName>
    <definedName name="FIRMKWH">#REF!</definedName>
    <definedName name="FIRSTDAY" localSheetId="8">#REF!</definedName>
    <definedName name="FIRSTDAY">#REF!</definedName>
    <definedName name="FRMCPCT" localSheetId="8">#REF!</definedName>
    <definedName name="FRMCPCT">#REF!</definedName>
    <definedName name="FUELCHG" localSheetId="8">#REF!</definedName>
    <definedName name="FUELCHG">#REF!</definedName>
    <definedName name="FUELRATE" localSheetId="8">#REF!</definedName>
    <definedName name="FUELRATE">#REF!</definedName>
    <definedName name="GenBlkKwhChg1" localSheetId="8">#REF!</definedName>
    <definedName name="GenBlkKwhChg1">#REF!</definedName>
    <definedName name="GenBlkKwhChg2" localSheetId="8">#REF!</definedName>
    <definedName name="GenBlkKwhChg2">#REF!</definedName>
    <definedName name="GenBlkKwhChg3" localSheetId="8">#REF!</definedName>
    <definedName name="GenBlkKwhChg3">#REF!</definedName>
    <definedName name="GenBlkKwhChgT" localSheetId="8">#REF!</definedName>
    <definedName name="GenBlkKwhChgT">#REF!</definedName>
    <definedName name="GENCCHG" localSheetId="8">#REF!</definedName>
    <definedName name="GENCCHG">#REF!</definedName>
    <definedName name="GenCustChg" localSheetId="8">#REF!</definedName>
    <definedName name="GenCustChg">#REF!</definedName>
    <definedName name="GENDCHG1" localSheetId="8">#REF!</definedName>
    <definedName name="GENDCHG1">#REF!</definedName>
    <definedName name="GENDCHG2" localSheetId="8">#REF!</definedName>
    <definedName name="GENDCHG2">#REF!</definedName>
    <definedName name="GenDmdChg1" localSheetId="8">#REF!</definedName>
    <definedName name="GenDmdChg1">#REF!</definedName>
    <definedName name="GenDmdChg2" localSheetId="8">#REF!</definedName>
    <definedName name="GenDmdChg2">#REF!</definedName>
    <definedName name="GENECHG1" localSheetId="8">#REF!</definedName>
    <definedName name="GENECHG1">#REF!</definedName>
    <definedName name="GENECHGB1" localSheetId="8">#REF!</definedName>
    <definedName name="GENECHGB1">#REF!</definedName>
    <definedName name="GENECHGB2" localSheetId="8">#REF!</definedName>
    <definedName name="GENECHGB2">#REF!</definedName>
    <definedName name="GENECHGB3" localSheetId="8">#REF!</definedName>
    <definedName name="GENECHGB3">#REF!</definedName>
    <definedName name="GenMEChg" localSheetId="8">#REF!</definedName>
    <definedName name="GenMEChg">#REF!</definedName>
    <definedName name="GENMECHG1" localSheetId="8">#REF!</definedName>
    <definedName name="GENMECHG1">#REF!</definedName>
    <definedName name="GENMINDC" localSheetId="8">#REF!</definedName>
    <definedName name="GENMINDC">#REF!</definedName>
    <definedName name="GenMinDChg" localSheetId="8">#REF!</definedName>
    <definedName name="GenMinDChg">#REF!</definedName>
    <definedName name="GENMINEC" localSheetId="8">#REF!</definedName>
    <definedName name="GENMINEC">#REF!</definedName>
    <definedName name="GenMinEChg" localSheetId="8">#REF!</definedName>
    <definedName name="GenMinEChg">#REF!</definedName>
    <definedName name="GenOffPkKwh" localSheetId="8">#REF!</definedName>
    <definedName name="GenOffPkKwh">#REF!</definedName>
    <definedName name="GENOFKWH" localSheetId="8">#REF!</definedName>
    <definedName name="GENOFKWH">#REF!</definedName>
    <definedName name="GenOnPkKwh" localSheetId="8">#REF!</definedName>
    <definedName name="GenOnPkKwh">#REF!</definedName>
    <definedName name="GENOPKWH" localSheetId="8">#REF!</definedName>
    <definedName name="GENOPKWH">#REF!</definedName>
    <definedName name="GENP1EC" localSheetId="8">#REF!</definedName>
    <definedName name="GENP1EC">#REF!</definedName>
    <definedName name="GENP2EC" localSheetId="8">#REF!</definedName>
    <definedName name="GENP2EC">#REF!</definedName>
    <definedName name="GENP3EC" localSheetId="8">#REF!</definedName>
    <definedName name="GENP3EC">#REF!</definedName>
    <definedName name="GENP4EC" localSheetId="8">#REF!</definedName>
    <definedName name="GENP4EC">#REF!</definedName>
    <definedName name="GENP5EC" localSheetId="8">#REF!</definedName>
    <definedName name="GENP5EC">#REF!</definedName>
    <definedName name="GenPL1Chg" localSheetId="8">#REF!</definedName>
    <definedName name="GenPL1Chg">#REF!</definedName>
    <definedName name="GenPL2Chg" localSheetId="8">#REF!</definedName>
    <definedName name="GenPL2Chg">#REF!</definedName>
    <definedName name="GenPL3Chg" localSheetId="8">#REF!</definedName>
    <definedName name="GenPL3Chg">#REF!</definedName>
    <definedName name="GenPL4Chg" localSheetId="8">#REF!</definedName>
    <definedName name="GenPL4Chg">#REF!</definedName>
    <definedName name="GenPL5Chg" localSheetId="8">#REF!</definedName>
    <definedName name="GenPL5Chg">#REF!</definedName>
    <definedName name="GENRCHG" localSheetId="8">#REF!</definedName>
    <definedName name="GENRCHG">#REF!</definedName>
    <definedName name="GenReactiveChg" localSheetId="8">#REF!</definedName>
    <definedName name="GenReactiveChg">#REF!</definedName>
    <definedName name="GENXOFKVA" localSheetId="8">#REF!</definedName>
    <definedName name="GENXOFKVA">#REF!</definedName>
    <definedName name="GENXOFKW" localSheetId="8">#REF!</definedName>
    <definedName name="GENXOFKW">#REF!</definedName>
    <definedName name="GenXOfpKvaChg" localSheetId="8">#REF!</definedName>
    <definedName name="GenXOfpKvaChg">#REF!</definedName>
    <definedName name="GenXOfpKwChg" localSheetId="8">#REF!</definedName>
    <definedName name="GenXOfpKwChg">#REF!</definedName>
    <definedName name="GIRPCCHG" localSheetId="8">#REF!</definedName>
    <definedName name="GIRPCCHG">#REF!</definedName>
    <definedName name="GIRPDCHG1" localSheetId="8">#REF!</definedName>
    <definedName name="GIRPDCHG1">#REF!</definedName>
    <definedName name="GIRPDCHG2" localSheetId="8">#REF!</definedName>
    <definedName name="GIRPDCHG2">#REF!</definedName>
    <definedName name="GIRPECHG1" localSheetId="8">#REF!</definedName>
    <definedName name="GIRPECHG1">#REF!</definedName>
    <definedName name="GIRPECHGB1" localSheetId="8">#REF!</definedName>
    <definedName name="GIRPECHGB1">#REF!</definedName>
    <definedName name="GIRPECHGB2" localSheetId="8">#REF!</definedName>
    <definedName name="GIRPECHGB2">#REF!</definedName>
    <definedName name="GIRPECHGB3" localSheetId="8">#REF!</definedName>
    <definedName name="GIRPECHGB3">#REF!</definedName>
    <definedName name="GIRPMECHG1" localSheetId="8">#REF!</definedName>
    <definedName name="GIRPMECHG1">#REF!</definedName>
    <definedName name="GIRPMINDC" localSheetId="8">#REF!</definedName>
    <definedName name="GIRPMINDC">#REF!</definedName>
    <definedName name="GIRPMINEC" localSheetId="8">#REF!</definedName>
    <definedName name="GIRPMINEC">#REF!</definedName>
    <definedName name="GIRPOFKVA" localSheetId="8">#REF!</definedName>
    <definedName name="GIRPOFKVA">#REF!</definedName>
    <definedName name="GIRPOFKW" localSheetId="8">#REF!</definedName>
    <definedName name="GIRPOFKW">#REF!</definedName>
    <definedName name="GIRPOFKWH" localSheetId="8">#REF!</definedName>
    <definedName name="GIRPOFKWH">#REF!</definedName>
    <definedName name="GIRPOPKWH" localSheetId="8">#REF!</definedName>
    <definedName name="GIRPOPKWH">#REF!</definedName>
    <definedName name="GIRPP1EC" localSheetId="8">#REF!</definedName>
    <definedName name="GIRPP1EC">#REF!</definedName>
    <definedName name="GIRPP2EC" localSheetId="8">#REF!</definedName>
    <definedName name="GIRPP2EC">#REF!</definedName>
    <definedName name="GIRPP3EC" localSheetId="8">#REF!</definedName>
    <definedName name="GIRPP3EC">#REF!</definedName>
    <definedName name="GIRPP4EC" localSheetId="8">#REF!</definedName>
    <definedName name="GIRPP4EC">#REF!</definedName>
    <definedName name="GIRPP5EC" localSheetId="8">#REF!</definedName>
    <definedName name="GIRPP5EC">#REF!</definedName>
    <definedName name="GIRPRCHG" localSheetId="8">#REF!</definedName>
    <definedName name="GIRPRCHG">#REF!</definedName>
    <definedName name="HIPREKW" localSheetId="8">#REF!</definedName>
    <definedName name="HIPREKW">#REF!</definedName>
    <definedName name="HRCRDKW" localSheetId="8">#REF!</definedName>
    <definedName name="HRCRDKW">#REF!</definedName>
    <definedName name="HRCRDKWDT" localSheetId="8">#REF!</definedName>
    <definedName name="HRCRDKWDT">#REF!</definedName>
    <definedName name="HRCRDKWTM" localSheetId="8">#REF!</definedName>
    <definedName name="HRCRDKWTM">#REF!</definedName>
    <definedName name="HROFPKDT" localSheetId="8">#REF!</definedName>
    <definedName name="HROFPKDT">#REF!</definedName>
    <definedName name="HROFPKKW" localSheetId="8">#REF!</definedName>
    <definedName name="HROFPKKW">#REF!</definedName>
    <definedName name="HROFPKTM" localSheetId="8">#REF!</definedName>
    <definedName name="HROFPKTM">#REF!</definedName>
    <definedName name="HRONPKDT" localSheetId="8">#REF!</definedName>
    <definedName name="HRONPKDT">#REF!</definedName>
    <definedName name="HRONPKKW" localSheetId="8">#REF!</definedName>
    <definedName name="HRONPKKW">#REF!</definedName>
    <definedName name="HRONPKTM" localSheetId="8">#REF!</definedName>
    <definedName name="HRONPKTM">#REF!</definedName>
    <definedName name="IMCO" localSheetId="8">#REF!</definedName>
    <definedName name="IMCO">#REF!</definedName>
    <definedName name="InterruptCapacity" localSheetId="8">#REF!</definedName>
    <definedName name="InterruptCapacity">#REF!</definedName>
    <definedName name="InterruptOfpCapacity" localSheetId="8">#REF!</definedName>
    <definedName name="InterruptOfpCapacity">#REF!</definedName>
    <definedName name="InterruptType" localSheetId="8">#REF!</definedName>
    <definedName name="InterruptType">#REF!</definedName>
    <definedName name="INTRPBLCAP" localSheetId="8">#REF!</definedName>
    <definedName name="INTRPBLCAP">#REF!</definedName>
    <definedName name="Invdetails" localSheetId="8">#REF!</definedName>
    <definedName name="Invdetails">#REF!</definedName>
    <definedName name="KWCHG" localSheetId="8">#REF!</definedName>
    <definedName name="KWCHG">#REF!</definedName>
    <definedName name="KWH1NOCMM" localSheetId="8">#REF!</definedName>
    <definedName name="KWH1NOCMM">#REF!</definedName>
    <definedName name="KWH3NOCMM" localSheetId="8">#REF!</definedName>
    <definedName name="KWH3NOCMM">#REF!</definedName>
    <definedName name="KWHCHG" localSheetId="8">#REF!</definedName>
    <definedName name="KWHCHG">#REF!</definedName>
    <definedName name="LASTDAY" localSheetId="8">#REF!</definedName>
    <definedName name="LASTDAY">#REF!</definedName>
    <definedName name="LASTFUEL" localSheetId="8">#REF!</definedName>
    <definedName name="LASTFUEL">#REF!</definedName>
    <definedName name="LASTMSRR" localSheetId="8">#REF!</definedName>
    <definedName name="LASTMSRR">#REF!</definedName>
    <definedName name="LASTPFCC" localSheetId="8">#REF!</definedName>
    <definedName name="LASTPFCC">#REF!</definedName>
    <definedName name="LDFCTR" localSheetId="8">#REF!</definedName>
    <definedName name="LDFCTR">#REF!</definedName>
    <definedName name="LRCREDIT" localSheetId="8">#REF!</definedName>
    <definedName name="LRCREDIT">#REF!</definedName>
    <definedName name="MACC1" localSheetId="8">#REF!</definedName>
    <definedName name="MACC1">#REF!</definedName>
    <definedName name="MACC2" localSheetId="8">#REF!</definedName>
    <definedName name="MACC2">#REF!</definedName>
    <definedName name="MAINTHRSCRMO" localSheetId="8">#REF!</definedName>
    <definedName name="MAINTHRSCRMO">#REF!</definedName>
    <definedName name="MAINTKWH" localSheetId="8">#REF!</definedName>
    <definedName name="MAINTKWH">#REF!</definedName>
    <definedName name="MinBillDem" localSheetId="8">#REF!</definedName>
    <definedName name="MinBillDem">#REF!</definedName>
    <definedName name="MinBillDem2" localSheetId="8">#REF!</definedName>
    <definedName name="MinBillDem2">#REF!</definedName>
    <definedName name="MinBillDmd" localSheetId="8">#REF!</definedName>
    <definedName name="MinBillDmd">#REF!</definedName>
    <definedName name="MSRRBLD" localSheetId="8">#REF!</definedName>
    <definedName name="MSRRBLD">#REF!</definedName>
    <definedName name="MSRRCHG" localSheetId="8">#REF!</definedName>
    <definedName name="MSRRCHG">#REF!</definedName>
    <definedName name="MTRMLTPLR1" localSheetId="8">#REF!</definedName>
    <definedName name="MTRMLTPLR1">#REF!</definedName>
    <definedName name="MTRMLTPLR2" localSheetId="8">#REF!</definedName>
    <definedName name="MTRMLTPLR2">#REF!</definedName>
    <definedName name="NETMRGCHG" localSheetId="8">#REF!</definedName>
    <definedName name="NETMRGCHG">#REF!</definedName>
    <definedName name="NODAYSINPRD" localSheetId="8">#REF!</definedName>
    <definedName name="NODAYSINPRD">#REF!</definedName>
    <definedName name="NODELPOINTS" localSheetId="8">#REF!</definedName>
    <definedName name="NODELPOINTS">#REF!</definedName>
    <definedName name="NvsASD" localSheetId="10">"V2006-12-31"</definedName>
    <definedName name="NvsASD" localSheetId="9">"V2006-12-31"</definedName>
    <definedName name="NvsASD">"V2006-12-31"</definedName>
    <definedName name="NvsAutoDrillOk">"VN"</definedName>
    <definedName name="NvsElapsedTime" localSheetId="10">0.000231481484661344</definedName>
    <definedName name="NvsElapsedTime" localSheetId="9">0.000231481484661344</definedName>
    <definedName name="NvsElapsedTime">0.000231481484661344</definedName>
    <definedName name="NvsEndTime" localSheetId="10">39091.5909490741</definedName>
    <definedName name="NvsEndTime" localSheetId="9">39091.5909490741</definedName>
    <definedName name="NvsEndTime">39091.5909490741</definedName>
    <definedName name="NvsInstanceHook">"""nvsMacro"""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10">"%,X,RZF..,CNF.."</definedName>
    <definedName name="NvsNplSpec" localSheetId="9">"%,X,RZF..,CNF.."</definedName>
    <definedName name="NvsNplSpec">"%,X,RZF..,CNF.."</definedName>
    <definedName name="NvsPanelBusUnit">"V100"</definedName>
    <definedName name="NvsPanelEffdt" localSheetId="10">"V2004-06-30"</definedName>
    <definedName name="NvsPanelEffdt" localSheetId="9">"V2004-06-30"</definedName>
    <definedName name="NvsPanelEffdt">"V2004-06-30"</definedName>
    <definedName name="NvsPanelSetid">"VAEP"</definedName>
    <definedName name="NvsReqBU" localSheetId="10">"VX999"</definedName>
    <definedName name="NvsReqBU" localSheetId="9">"VX999"</definedName>
    <definedName name="NvsReqBU">"VX999"</definedName>
    <definedName name="NvsReqBUOnly">"VN"</definedName>
    <definedName name="NvsTransLed">"VN"</definedName>
    <definedName name="NvsTreeASD" localSheetId="10">"V2099-01-01"</definedName>
    <definedName name="NvsTreeASD" localSheetId="9">"V2099-01-01"</definedName>
    <definedName name="NvsTreeASD">"V2099-01-01"</definedName>
    <definedName name="NvsValTbl.ACCOUNT">"GL_ACCOUNT_TBL"</definedName>
    <definedName name="NvsValTbl.CURRENCY_CD">"CURRENCY_CD_TBL"</definedName>
    <definedName name="OFPCBLKW" localSheetId="8">#REF!</definedName>
    <definedName name="OFPCBLKW">#REF!</definedName>
    <definedName name="OFPKBILLKWH" localSheetId="8">#REF!</definedName>
    <definedName name="OFPKBILLKWH">#REF!</definedName>
    <definedName name="OFPKCGNKWH" localSheetId="8">#REF!</definedName>
    <definedName name="OFPKCGNKWH">#REF!</definedName>
    <definedName name="OFPKCNTRCTCPCT" localSheetId="8">#REF!</definedName>
    <definedName name="OFPKCNTRCTCPCT">#REF!</definedName>
    <definedName name="OFPKDMPKWH" localSheetId="8">#REF!</definedName>
    <definedName name="OFPKDMPKWH">#REF!</definedName>
    <definedName name="OFPKDSCRKWH" localSheetId="8">#REF!</definedName>
    <definedName name="OFPKDSCRKWH">#REF!</definedName>
    <definedName name="OFPKDT" localSheetId="8">#REF!</definedName>
    <definedName name="OFPKDT">#REF!</definedName>
    <definedName name="OFPKEXCSKW" localSheetId="8">#REF!</definedName>
    <definedName name="OFPKEXCSKW">#REF!</definedName>
    <definedName name="OFPKINCRKWH" localSheetId="8">#REF!</definedName>
    <definedName name="OFPKINCRKWH">#REF!</definedName>
    <definedName name="OFPKKVADT" localSheetId="8">#REF!</definedName>
    <definedName name="OFPKKVADT">#REF!</definedName>
    <definedName name="OFPKKVATM" localSheetId="8">#REF!</definedName>
    <definedName name="OFPKKVATM">#REF!</definedName>
    <definedName name="OFPKKVW" localSheetId="8">#REF!</definedName>
    <definedName name="OFPKKVW">#REF!</definedName>
    <definedName name="OFPKKW" localSheetId="8">#REF!</definedName>
    <definedName name="OFPKKW">#REF!</definedName>
    <definedName name="OFPKKWH1NOCMM" localSheetId="8">#REF!</definedName>
    <definedName name="OFPKKWH1NOCMM">#REF!</definedName>
    <definedName name="OFPKKWH3NOCMM" localSheetId="8">#REF!</definedName>
    <definedName name="OFPKKWH3NOCMM">#REF!</definedName>
    <definedName name="OFPKRCRDKWH" localSheetId="8">#REF!</definedName>
    <definedName name="OFPKRCRDKWH">#REF!</definedName>
    <definedName name="OFPKTM" localSheetId="8">#REF!</definedName>
    <definedName name="OFPKTM">#REF!</definedName>
    <definedName name="OFPXCSKW" localSheetId="8">#REF!</definedName>
    <definedName name="OFPXCSKW">#REF!</definedName>
    <definedName name="OFPXCSKWDT" localSheetId="8">#REF!</definedName>
    <definedName name="OFPXCSKWDT">#REF!</definedName>
    <definedName name="OFPXCSKWH" localSheetId="8">#REF!</definedName>
    <definedName name="OFPXCSKWH">#REF!</definedName>
    <definedName name="OFPXCSKWTM" localSheetId="8">#REF!</definedName>
    <definedName name="OFPXCSKWTM">#REF!</definedName>
    <definedName name="ONPKBILLKWH" localSheetId="8">#REF!</definedName>
    <definedName name="ONPKBILLKWH">#REF!</definedName>
    <definedName name="ONPKCAPB" localSheetId="8">#REF!</definedName>
    <definedName name="ONPKCAPB">#REF!</definedName>
    <definedName name="ONPKCGNKWH" localSheetId="8">#REF!</definedName>
    <definedName name="ONPKCGNKWH">#REF!</definedName>
    <definedName name="ONPKCNTRCTCPCT" localSheetId="8">#REF!</definedName>
    <definedName name="ONPKCNTRCTCPCT">#REF!</definedName>
    <definedName name="ONPKDMPKWH" localSheetId="8">#REF!</definedName>
    <definedName name="ONPKDMPKWH">#REF!</definedName>
    <definedName name="ONPKDSCRKWH" localSheetId="8">#REF!</definedName>
    <definedName name="ONPKDSCRKWH">#REF!</definedName>
    <definedName name="ONPKDT" localSheetId="8">#REF!</definedName>
    <definedName name="ONPKDT">#REF!</definedName>
    <definedName name="ONPKINCRKWH" localSheetId="8">#REF!</definedName>
    <definedName name="ONPKINCRKWH">#REF!</definedName>
    <definedName name="ONPKKVA" localSheetId="8">#REF!</definedName>
    <definedName name="ONPKKVA">#REF!</definedName>
    <definedName name="ONPKKVADT" localSheetId="8">#REF!</definedName>
    <definedName name="ONPKKVADT">#REF!</definedName>
    <definedName name="ONPKKVATM" localSheetId="8">#REF!</definedName>
    <definedName name="ONPKKVATM">#REF!</definedName>
    <definedName name="ONPKKW" localSheetId="8">#REF!</definedName>
    <definedName name="ONPKKW">#REF!</definedName>
    <definedName name="ONPKKWH1NOCMM" localSheetId="8">#REF!</definedName>
    <definedName name="ONPKKWH1NOCMM">#REF!</definedName>
    <definedName name="ONPKKWH3NOCMM" localSheetId="8">#REF!</definedName>
    <definedName name="ONPKKWH3NOCMM">#REF!</definedName>
    <definedName name="ONPKRCRDKWH" localSheetId="8">#REF!</definedName>
    <definedName name="ONPKRCRDKWH">#REF!</definedName>
    <definedName name="ONPKTM" localSheetId="8">#REF!</definedName>
    <definedName name="ONPKTM">#REF!</definedName>
    <definedName name="OPCBLKW" localSheetId="8">#REF!</definedName>
    <definedName name="OPCBLKW">#REF!</definedName>
    <definedName name="OPCO" localSheetId="8">#REF!</definedName>
    <definedName name="OPCO">#REF!</definedName>
    <definedName name="OPXCSKW" localSheetId="8">#REF!</definedName>
    <definedName name="OPXCSKW">#REF!</definedName>
    <definedName name="OPXCSKWDT" localSheetId="8">#REF!</definedName>
    <definedName name="OPXCSKWDT">#REF!</definedName>
    <definedName name="OPXCSKWH" localSheetId="8">#REF!</definedName>
    <definedName name="OPXCSKWH">#REF!</definedName>
    <definedName name="OPXCSKWTM" localSheetId="8">#REF!</definedName>
    <definedName name="OPXCSKWTM">#REF!</definedName>
    <definedName name="OTHRTRNSKWH" localSheetId="8">#REF!</definedName>
    <definedName name="OTHRTRNSKWH">#REF!</definedName>
    <definedName name="P1PENPERC" localSheetId="8">#REF!</definedName>
    <definedName name="P1PENPERC">#REF!</definedName>
    <definedName name="P2PENPERC" localSheetId="8">#REF!</definedName>
    <definedName name="P2PENPERC">#REF!</definedName>
    <definedName name="PeakDemandChg" localSheetId="8">#REF!</definedName>
    <definedName name="PeakDemandChg">#REF!</definedName>
    <definedName name="PenaltyDays" localSheetId="8">#REF!</definedName>
    <definedName name="PenaltyDays">#REF!</definedName>
    <definedName name="PenaltyPct" localSheetId="8">#REF!</definedName>
    <definedName name="PenaltyPct">#REF!</definedName>
    <definedName name="PENDAYS" localSheetId="8">#REF!</definedName>
    <definedName name="PENDAYS">#REF!</definedName>
    <definedName name="PENDAYS2" localSheetId="8">#REF!</definedName>
    <definedName name="PENDAYS2">#REF!</definedName>
    <definedName name="PFCC" localSheetId="8">#REF!</definedName>
    <definedName name="PFCC">#REF!</definedName>
    <definedName name="PKKVAR" localSheetId="8">#REF!</definedName>
    <definedName name="PKKVAR">#REF!</definedName>
    <definedName name="PKKVARDATE" localSheetId="8">#REF!</definedName>
    <definedName name="PKKVARDATE">#REF!</definedName>
    <definedName name="PKKVARTIME" localSheetId="8">#REF!</definedName>
    <definedName name="PKKVARTIME">#REF!</definedName>
    <definedName name="PLVLKWH1" localSheetId="8">#REF!</definedName>
    <definedName name="PLVLKWH1">#REF!</definedName>
    <definedName name="PLVLKWH1A" localSheetId="8">#REF!</definedName>
    <definedName name="PLVLKWH1A">#REF!</definedName>
    <definedName name="PLVLKWH2" localSheetId="8">#REF!</definedName>
    <definedName name="PLVLKWH2">#REF!</definedName>
    <definedName name="PLVLKWH23A" localSheetId="8">#REF!</definedName>
    <definedName name="PLVLKWH23A">#REF!</definedName>
    <definedName name="PLVLKWH25" localSheetId="8">#REF!</definedName>
    <definedName name="PLVLKWH25">#REF!</definedName>
    <definedName name="PLVLKWH2A" localSheetId="8">#REF!</definedName>
    <definedName name="PLVLKWH2A">#REF!</definedName>
    <definedName name="PLVLKWH3" localSheetId="8">#REF!</definedName>
    <definedName name="PLVLKWH3">#REF!</definedName>
    <definedName name="PLVLKWH3A" localSheetId="8">#REF!</definedName>
    <definedName name="PLVLKWH3A">#REF!</definedName>
    <definedName name="PLVLKWH4" localSheetId="8">#REF!</definedName>
    <definedName name="PLVLKWH4">#REF!</definedName>
    <definedName name="PLVLKWH4A" localSheetId="8">#REF!</definedName>
    <definedName name="PLVLKWH4A">#REF!</definedName>
    <definedName name="PRICEDESIG" localSheetId="8">#REF!</definedName>
    <definedName name="PRICEDESIG">#REF!</definedName>
    <definedName name="PriMoAddr1" localSheetId="8">#REF!</definedName>
    <definedName name="PriMoAddr1">#REF!</definedName>
    <definedName name="PriMoAddr2" localSheetId="8">#REF!</definedName>
    <definedName name="PriMoAddr2">#REF!</definedName>
    <definedName name="PriMoBTDetail" localSheetId="8">#REF!</definedName>
    <definedName name="PriMoBTDetail">#REF!</definedName>
    <definedName name="PriMoBuyThrgh_Sheet" localSheetId="8">#REF!</definedName>
    <definedName name="PriMoBuyThrgh_Sheet">#REF!</definedName>
    <definedName name="PriMoCityStZip" localSheetId="8">#REF!</definedName>
    <definedName name="PriMoCityStZip">#REF!</definedName>
    <definedName name="PriMoCustName" localSheetId="8">#REF!</definedName>
    <definedName name="PriMoCustName">#REF!</definedName>
    <definedName name="PriMoMtrMult" localSheetId="8">#REF!</definedName>
    <definedName name="PriMoMtrMult">#REF!</definedName>
    <definedName name="_xlnm.Print_Area" localSheetId="0">Summary!$A$1:$M$39</definedName>
    <definedName name="_xlnm.Print_Area" localSheetId="8">'TransCo PJM Zonal Rates 2025'!$A$1:$S$63</definedName>
    <definedName name="_xlnm.Print_Area" localSheetId="10">'TransCo PJM Zonal Rates 2026'!$A$1:$S$52</definedName>
    <definedName name="_xlnm.Print_Area" localSheetId="9">'Zonal Rates - 2026'!$A$1:$U$60</definedName>
    <definedName name="_xlnm.Print_Area" localSheetId="7">'Zonal Rates 2025'!$A$1:$U$71</definedName>
    <definedName name="PRVCNT" localSheetId="8">#REF!</definedName>
    <definedName name="PRVCNT">#REF!</definedName>
    <definedName name="PRVDATE" localSheetId="8">#REF!</definedName>
    <definedName name="PRVDATE">#REF!</definedName>
    <definedName name="PRVFUEL" localSheetId="8">#REF!</definedName>
    <definedName name="PRVFUEL">#REF!</definedName>
    <definedName name="PRVKW" localSheetId="8">#REF!</definedName>
    <definedName name="PRVKW">#REF!</definedName>
    <definedName name="PRVKWH" localSheetId="8">#REF!</definedName>
    <definedName name="PRVKWH">#REF!</definedName>
    <definedName name="PRVMSRR" localSheetId="8">#REF!</definedName>
    <definedName name="PRVMSRR">#REF!</definedName>
    <definedName name="PRVPFCC" localSheetId="8">#REF!</definedName>
    <definedName name="PRVPFCC">#REF!</definedName>
    <definedName name="PVHIOFPCBL" localSheetId="8">#REF!</definedName>
    <definedName name="PVHIOFPCBL">#REF!</definedName>
    <definedName name="PVHIOPCBL" localSheetId="8">#REF!</definedName>
    <definedName name="PVHIOPCBL">#REF!</definedName>
    <definedName name="RatchetFactor" localSheetId="8">#REF!</definedName>
    <definedName name="RatchetFactor">#REF!</definedName>
    <definedName name="RCRDRID" localSheetId="8">#REF!</definedName>
    <definedName name="RCRDRID">#REF!</definedName>
    <definedName name="RCTVHRS" localSheetId="8">#REF!</definedName>
    <definedName name="RCTVHRS">#REF!</definedName>
    <definedName name="RDRBLK1C" localSheetId="8">#REF!</definedName>
    <definedName name="RDRBLK1C">#REF!</definedName>
    <definedName name="RDRBLK1Q" localSheetId="8">#REF!</definedName>
    <definedName name="RDRBLK1Q">#REF!</definedName>
    <definedName name="RDRBLK2C" localSheetId="8">#REF!</definedName>
    <definedName name="RDRBLK2C">#REF!</definedName>
    <definedName name="RDRBLK2Q" localSheetId="8">#REF!</definedName>
    <definedName name="RDRBLK2Q">#REF!</definedName>
    <definedName name="RDRBLK3C" localSheetId="8">#REF!</definedName>
    <definedName name="RDRBLK3C">#REF!</definedName>
    <definedName name="RDRBLK3Q" localSheetId="8">#REF!</definedName>
    <definedName name="RDRBLK3Q">#REF!</definedName>
    <definedName name="RDRBLKTC" localSheetId="8">#REF!</definedName>
    <definedName name="RDRBLKTC">#REF!</definedName>
    <definedName name="RDRBLKTC1" localSheetId="8">#REF!</definedName>
    <definedName name="RDRBLKTC1">#REF!</definedName>
    <definedName name="RDRBLKTC10" localSheetId="8">#REF!</definedName>
    <definedName name="RDRBLKTC10">#REF!</definedName>
    <definedName name="RDRBLKTC11" localSheetId="8">#REF!</definedName>
    <definedName name="RDRBLKTC11">#REF!</definedName>
    <definedName name="RDRBLKTC12" localSheetId="8">#REF!</definedName>
    <definedName name="RDRBLKTC12">#REF!</definedName>
    <definedName name="RDRBLKTC13" localSheetId="8">#REF!</definedName>
    <definedName name="RDRBLKTC13">#REF!</definedName>
    <definedName name="RDRBLKTC14" localSheetId="8">#REF!</definedName>
    <definedName name="RDRBLKTC14">#REF!</definedName>
    <definedName name="RDRBLKTC15" localSheetId="8">#REF!</definedName>
    <definedName name="RDRBLKTC15">#REF!</definedName>
    <definedName name="RDRBLKTC16" localSheetId="8">#REF!</definedName>
    <definedName name="RDRBLKTC16">#REF!</definedName>
    <definedName name="RDRBLKTC17" localSheetId="8">#REF!</definedName>
    <definedName name="RDRBLKTC17">#REF!</definedName>
    <definedName name="RDRBLKTC18" localSheetId="8">#REF!</definedName>
    <definedName name="RDRBLKTC18">#REF!</definedName>
    <definedName name="RDRBLKTC19" localSheetId="8">#REF!</definedName>
    <definedName name="RDRBLKTC19">#REF!</definedName>
    <definedName name="RDRBLKTC2" localSheetId="8">#REF!</definedName>
    <definedName name="RDRBLKTC2">#REF!</definedName>
    <definedName name="RDRBLKTC20" localSheetId="8">#REF!</definedName>
    <definedName name="RDRBLKTC20">#REF!</definedName>
    <definedName name="RDRBLKTC3" localSheetId="8">#REF!</definedName>
    <definedName name="RDRBLKTC3">#REF!</definedName>
    <definedName name="RDRBLKTC4" localSheetId="8">#REF!</definedName>
    <definedName name="RDRBLKTC4">#REF!</definedName>
    <definedName name="RDRBLKTC5" localSheetId="8">#REF!</definedName>
    <definedName name="RDRBLKTC5">#REF!</definedName>
    <definedName name="RDRBLKTC6" localSheetId="8">#REF!</definedName>
    <definedName name="RDRBLKTC6">#REF!</definedName>
    <definedName name="RDRBLKTC7" localSheetId="8">#REF!</definedName>
    <definedName name="RDRBLKTC7">#REF!</definedName>
    <definedName name="RDRBLKTC8" localSheetId="8">#REF!</definedName>
    <definedName name="RDRBLKTC8">#REF!</definedName>
    <definedName name="RDRBLKTC9" localSheetId="8">#REF!</definedName>
    <definedName name="RDRBLKTC9">#REF!</definedName>
    <definedName name="RDRBLKTQ" localSheetId="8">#REF!</definedName>
    <definedName name="RDRBLKTQ">#REF!</definedName>
    <definedName name="RDRCODE" localSheetId="8">#REF!</definedName>
    <definedName name="RDRCODE">#REF!</definedName>
    <definedName name="RDRCYCLE" localSheetId="8">#REF!</definedName>
    <definedName name="RDRCYCLE">#REF!</definedName>
    <definedName name="RDRDATE" localSheetId="8">#REF!</definedName>
    <definedName name="RDRDATE">#REF!</definedName>
    <definedName name="RDRNAME" localSheetId="8">#REF!</definedName>
    <definedName name="RDRNAME">#REF!</definedName>
    <definedName name="RDRRATEB" localSheetId="8">#REF!</definedName>
    <definedName name="RDRRATEB">#REF!</definedName>
    <definedName name="RDRRATEB1" localSheetId="8">#REF!</definedName>
    <definedName name="RDRRATEB1">#REF!</definedName>
    <definedName name="RDRRATEB10" localSheetId="8">#REF!</definedName>
    <definedName name="RDRRATEB10">#REF!</definedName>
    <definedName name="RDRRATEB11" localSheetId="8">#REF!</definedName>
    <definedName name="RDRRATEB11">#REF!</definedName>
    <definedName name="RDRRATEB12" localSheetId="8">#REF!</definedName>
    <definedName name="RDRRATEB12">#REF!</definedName>
    <definedName name="RDRRATEB13" localSheetId="8">#REF!</definedName>
    <definedName name="RDRRATEB13">#REF!</definedName>
    <definedName name="RDRRATEB14" localSheetId="8">#REF!</definedName>
    <definedName name="RDRRATEB14">#REF!</definedName>
    <definedName name="RDRRATEB15" localSheetId="8">#REF!</definedName>
    <definedName name="RDRRATEB15">#REF!</definedName>
    <definedName name="RDRRATEB16" localSheetId="8">#REF!</definedName>
    <definedName name="RDRRATEB16">#REF!</definedName>
    <definedName name="RDRRATEB17" localSheetId="8">#REF!</definedName>
    <definedName name="RDRRATEB17">#REF!</definedName>
    <definedName name="RDRRATEB18" localSheetId="8">#REF!</definedName>
    <definedName name="RDRRATEB18">#REF!</definedName>
    <definedName name="RDRRATEB19" localSheetId="8">#REF!</definedName>
    <definedName name="RDRRATEB19">#REF!</definedName>
    <definedName name="RDRRATEB2" localSheetId="8">#REF!</definedName>
    <definedName name="RDRRATEB2">#REF!</definedName>
    <definedName name="RDRRATEB20" localSheetId="8">#REF!</definedName>
    <definedName name="RDRRATEB20">#REF!</definedName>
    <definedName name="RDRRATEB3" localSheetId="8">#REF!</definedName>
    <definedName name="RDRRATEB3">#REF!</definedName>
    <definedName name="RDRRATEB4" localSheetId="8">#REF!</definedName>
    <definedName name="RDRRATEB4">#REF!</definedName>
    <definedName name="RDRRATEB5" localSheetId="8">#REF!</definedName>
    <definedName name="RDRRATEB5">#REF!</definedName>
    <definedName name="RDRRATEB6" localSheetId="8">#REF!</definedName>
    <definedName name="RDRRATEB6">#REF!</definedName>
    <definedName name="RDRRATEB7" localSheetId="8">#REF!</definedName>
    <definedName name="RDRRATEB7">#REF!</definedName>
    <definedName name="RDRRATEB8" localSheetId="8">#REF!</definedName>
    <definedName name="RDRRATEB8">#REF!</definedName>
    <definedName name="RDRRATEB9" localSheetId="8">#REF!</definedName>
    <definedName name="RDRRATEB9">#REF!</definedName>
    <definedName name="RDRRATED" localSheetId="8">#REF!</definedName>
    <definedName name="RDRRATED">#REF!</definedName>
    <definedName name="RDRRATED1" localSheetId="8">#REF!</definedName>
    <definedName name="RDRRATED1">#REF!</definedName>
    <definedName name="RDRRATED10" localSheetId="8">#REF!</definedName>
    <definedName name="RDRRATED10">#REF!</definedName>
    <definedName name="RDRRATED11" localSheetId="8">#REF!</definedName>
    <definedName name="RDRRATED11">#REF!</definedName>
    <definedName name="RDRRATED12" localSheetId="8">#REF!</definedName>
    <definedName name="RDRRATED12">#REF!</definedName>
    <definedName name="RDRRATED13" localSheetId="8">#REF!</definedName>
    <definedName name="RDRRATED13">#REF!</definedName>
    <definedName name="RDRRATED14" localSheetId="8">#REF!</definedName>
    <definedName name="RDRRATED14">#REF!</definedName>
    <definedName name="RDRRATED15" localSheetId="8">#REF!</definedName>
    <definedName name="RDRRATED15">#REF!</definedName>
    <definedName name="RDRRATED16" localSheetId="8">#REF!</definedName>
    <definedName name="RDRRATED16">#REF!</definedName>
    <definedName name="RDRRATED17" localSheetId="8">#REF!</definedName>
    <definedName name="RDRRATED17">#REF!</definedName>
    <definedName name="RDRRATED18" localSheetId="8">#REF!</definedName>
    <definedName name="RDRRATED18">#REF!</definedName>
    <definedName name="RDRRATED19" localSheetId="8">#REF!</definedName>
    <definedName name="RDRRATED19">#REF!</definedName>
    <definedName name="RDRRATED2" localSheetId="8">#REF!</definedName>
    <definedName name="RDRRATED2">#REF!</definedName>
    <definedName name="RDRRATED20" localSheetId="8">#REF!</definedName>
    <definedName name="RDRRATED20">#REF!</definedName>
    <definedName name="RDRRATED3" localSheetId="8">#REF!</definedName>
    <definedName name="RDRRATED3">#REF!</definedName>
    <definedName name="RDRRATED4" localSheetId="8">#REF!</definedName>
    <definedName name="RDRRATED4">#REF!</definedName>
    <definedName name="RDRRATED5" localSheetId="8">#REF!</definedName>
    <definedName name="RDRRATED5">#REF!</definedName>
    <definedName name="RDRRATED6" localSheetId="8">#REF!</definedName>
    <definedName name="RDRRATED6">#REF!</definedName>
    <definedName name="RDRRATED7" localSheetId="8">#REF!</definedName>
    <definedName name="RDRRATED7">#REF!</definedName>
    <definedName name="RDRRATED8" localSheetId="8">#REF!</definedName>
    <definedName name="RDRRATED8">#REF!</definedName>
    <definedName name="RDRRATED9" localSheetId="8">#REF!</definedName>
    <definedName name="RDRRATED9">#REF!</definedName>
    <definedName name="RDRRATEG" localSheetId="8">#REF!</definedName>
    <definedName name="RDRRATEG">#REF!</definedName>
    <definedName name="RDRRATEG1" localSheetId="8">#REF!</definedName>
    <definedName name="RDRRATEG1">#REF!</definedName>
    <definedName name="RDRRATEG10" localSheetId="8">#REF!</definedName>
    <definedName name="RDRRATEG10">#REF!</definedName>
    <definedName name="RDRRATEG11" localSheetId="8">#REF!</definedName>
    <definedName name="RDRRATEG11">#REF!</definedName>
    <definedName name="RDRRATEG12" localSheetId="8">#REF!</definedName>
    <definedName name="RDRRATEG12">#REF!</definedName>
    <definedName name="RDRRATEG13" localSheetId="8">#REF!</definedName>
    <definedName name="RDRRATEG13">#REF!</definedName>
    <definedName name="RDRRATEG14" localSheetId="8">#REF!</definedName>
    <definedName name="RDRRATEG14">#REF!</definedName>
    <definedName name="RDRRATEG15" localSheetId="8">#REF!</definedName>
    <definedName name="RDRRATEG15">#REF!</definedName>
    <definedName name="RDRRATEG16" localSheetId="8">#REF!</definedName>
    <definedName name="RDRRATEG16">#REF!</definedName>
    <definedName name="RDRRATEG17" localSheetId="8">#REF!</definedName>
    <definedName name="RDRRATEG17">#REF!</definedName>
    <definedName name="RDRRATEG18" localSheetId="8">#REF!</definedName>
    <definedName name="RDRRATEG18">#REF!</definedName>
    <definedName name="RDRRATEG19" localSheetId="8">#REF!</definedName>
    <definedName name="RDRRATEG19">#REF!</definedName>
    <definedName name="RDRRATEG2" localSheetId="8">#REF!</definedName>
    <definedName name="RDRRATEG2">#REF!</definedName>
    <definedName name="RDRRATEG20" localSheetId="8">#REF!</definedName>
    <definedName name="RDRRATEG20">#REF!</definedName>
    <definedName name="RDRRATEG3" localSheetId="8">#REF!</definedName>
    <definedName name="RDRRATEG3">#REF!</definedName>
    <definedName name="RDRRATEG4" localSheetId="8">#REF!</definedName>
    <definedName name="RDRRATEG4">#REF!</definedName>
    <definedName name="RDRRATEG5" localSheetId="8">#REF!</definedName>
    <definedName name="RDRRATEG5">#REF!</definedName>
    <definedName name="RDRRATEG6" localSheetId="8">#REF!</definedName>
    <definedName name="RDRRATEG6">#REF!</definedName>
    <definedName name="RDRRATEG7" localSheetId="8">#REF!</definedName>
    <definedName name="RDRRATEG7">#REF!</definedName>
    <definedName name="RDRRATEG8" localSheetId="8">#REF!</definedName>
    <definedName name="RDRRATEG8">#REF!</definedName>
    <definedName name="RDRRATEG9" localSheetId="8">#REF!</definedName>
    <definedName name="RDRRATEG9">#REF!</definedName>
    <definedName name="RDRRATET" localSheetId="8">#REF!</definedName>
    <definedName name="RDRRATET">#REF!</definedName>
    <definedName name="RDRRATET1" localSheetId="8">#REF!</definedName>
    <definedName name="RDRRATET1">#REF!</definedName>
    <definedName name="RDRRATET10" localSheetId="8">#REF!</definedName>
    <definedName name="RDRRATET10">#REF!</definedName>
    <definedName name="RDRRATET11" localSheetId="8">#REF!</definedName>
    <definedName name="RDRRATET11">#REF!</definedName>
    <definedName name="RDRRATET12" localSheetId="8">#REF!</definedName>
    <definedName name="RDRRATET12">#REF!</definedName>
    <definedName name="RDRRATET13" localSheetId="8">#REF!</definedName>
    <definedName name="RDRRATET13">#REF!</definedName>
    <definedName name="RDRRATET14" localSheetId="8">#REF!</definedName>
    <definedName name="RDRRATET14">#REF!</definedName>
    <definedName name="RDRRATET15" localSheetId="8">#REF!</definedName>
    <definedName name="RDRRATET15">#REF!</definedName>
    <definedName name="RDRRATET16" localSheetId="8">#REF!</definedName>
    <definedName name="RDRRATET16">#REF!</definedName>
    <definedName name="RDRRATET17" localSheetId="8">#REF!</definedName>
    <definedName name="RDRRATET17">#REF!</definedName>
    <definedName name="RDRRATET18" localSheetId="8">#REF!</definedName>
    <definedName name="RDRRATET18">#REF!</definedName>
    <definedName name="RDRRATET19" localSheetId="8">#REF!</definedName>
    <definedName name="RDRRATET19">#REF!</definedName>
    <definedName name="RDRRATET2" localSheetId="8">#REF!</definedName>
    <definedName name="RDRRATET2">#REF!</definedName>
    <definedName name="RDRRATET20" localSheetId="8">#REF!</definedName>
    <definedName name="RDRRATET20">#REF!</definedName>
    <definedName name="RDRRATET3" localSheetId="8">#REF!</definedName>
    <definedName name="RDRRATET3">#REF!</definedName>
    <definedName name="RDRRATET4" localSheetId="8">#REF!</definedName>
    <definedName name="RDRRATET4">#REF!</definedName>
    <definedName name="RDRRATET5" localSheetId="8">#REF!</definedName>
    <definedName name="RDRRATET5">#REF!</definedName>
    <definedName name="RDRRATET6" localSheetId="8">#REF!</definedName>
    <definedName name="RDRRATET6">#REF!</definedName>
    <definedName name="RDRRATET7" localSheetId="8">#REF!</definedName>
    <definedName name="RDRRATET7">#REF!</definedName>
    <definedName name="RDRRATET8" localSheetId="8">#REF!</definedName>
    <definedName name="RDRRATET8">#REF!</definedName>
    <definedName name="RDRRATET9" localSheetId="8">#REF!</definedName>
    <definedName name="RDRRATET9">#REF!</definedName>
    <definedName name="RDRTYPE" localSheetId="8">#REF!</definedName>
    <definedName name="RDRTYPE">#REF!</definedName>
    <definedName name="RDRUNITS" localSheetId="8">#REF!</definedName>
    <definedName name="RDRUNITS">#REF!</definedName>
    <definedName name="_xlnm.Recorder" localSheetId="8">#REF!</definedName>
    <definedName name="_xlnm.Recorder">#REF!</definedName>
    <definedName name="Reserved_Section" localSheetId="8">#REF!</definedName>
    <definedName name="Reserved_Section">#REF!</definedName>
    <definedName name="RIDERS" localSheetId="8">#REF!</definedName>
    <definedName name="RIDERS">#REF!</definedName>
    <definedName name="RKVAHRDNG" localSheetId="8">#REF!</definedName>
    <definedName name="RKVAHRDNG">#REF!</definedName>
    <definedName name="RTCHTCNTRCTCPCT" localSheetId="8">#REF!</definedName>
    <definedName name="RTCHTCNTRCTCPCT">#REF!</definedName>
    <definedName name="RTCHTFCTR" localSheetId="8">#REF!</definedName>
    <definedName name="RTCHTFCTR">#REF!</definedName>
    <definedName name="RTCHTFCTR2" localSheetId="8">#REF!</definedName>
    <definedName name="RTCHTFCTR2">#REF!</definedName>
    <definedName name="RTCHTHIPREVKW" localSheetId="8">#REF!</definedName>
    <definedName name="RTCHTHIPREVKW">#REF!</definedName>
    <definedName name="RTP_Detail" localSheetId="8">#REF!</definedName>
    <definedName name="RTP_Detail">#REF!</definedName>
    <definedName name="RTPLRKW" localSheetId="8">#REF!</definedName>
    <definedName name="RTPLRKW">#REF!</definedName>
    <definedName name="SDI" localSheetId="8">#REF!</definedName>
    <definedName name="SDI">#REF!</definedName>
    <definedName name="SDP_036300585_2020">#REF!</definedName>
    <definedName name="search_directory_name">"R:\fcm90prd\nvision\rpts\Fin_Reports\"</definedName>
    <definedName name="SHLDRPKKW" localSheetId="8">#REF!</definedName>
    <definedName name="SHLDRPKKW">#REF!</definedName>
    <definedName name="SHLDRPKKWDT" localSheetId="8">#REF!</definedName>
    <definedName name="SHLDRPKKWDT">#REF!</definedName>
    <definedName name="SHLDRPKKWTM" localSheetId="8">#REF!</definedName>
    <definedName name="SHLDRPKKWTM">#REF!</definedName>
    <definedName name="SHRDTRNSKWH" localSheetId="8">#REF!</definedName>
    <definedName name="SHRDTRNSKWH">#REF!</definedName>
    <definedName name="SRPLSKWH" localSheetId="8">#REF!</definedName>
    <definedName name="SRPLSKWH">#REF!</definedName>
    <definedName name="STARTDTM" localSheetId="8">#REF!</definedName>
    <definedName name="STARTDTM">#REF!</definedName>
    <definedName name="State" localSheetId="8">#REF!</definedName>
    <definedName name="State">#REF!</definedName>
    <definedName name="STDKW" localSheetId="8">#REF!</definedName>
    <definedName name="STDKW">#REF!</definedName>
    <definedName name="STDKWDT" localSheetId="8">#REF!</definedName>
    <definedName name="STDKWDT">#REF!</definedName>
    <definedName name="STDKWTM" localSheetId="8">#REF!</definedName>
    <definedName name="STDKWTM">#REF!</definedName>
    <definedName name="Steps">[1]Input!$C$10,[1]Input!$C$11,[1]Input!$C$12,[1]Input!$C$13,[1]Input!$C$14,[1]Input!$C$21,[1]Input!$C$22,[1]Input!$C$17,[1]Input!$C$15,[1]Input!$C$19,[1]Input!#REF!,[1]Input!$C$9</definedName>
    <definedName name="STRTTIME" localSheetId="8">#REF!</definedName>
    <definedName name="STRTTIME">#REF!</definedName>
    <definedName name="SYSPKKW" localSheetId="8">#REF!</definedName>
    <definedName name="SYSPKKW">#REF!</definedName>
    <definedName name="SYSPKKWDT" localSheetId="8">#REF!</definedName>
    <definedName name="SYSPKKWDT">#REF!</definedName>
    <definedName name="SYSPKKWTM" localSheetId="8">#REF!</definedName>
    <definedName name="SYSPKKWTM">#REF!</definedName>
    <definedName name="TARIFF1" localSheetId="8">#REF!</definedName>
    <definedName name="TARIFF1">#REF!</definedName>
    <definedName name="TARIFF2" localSheetId="8">#REF!</definedName>
    <definedName name="TARIFF2">#REF!</definedName>
    <definedName name="TariffCode" localSheetId="8">#REF!</definedName>
    <definedName name="TariffCode">#REF!</definedName>
    <definedName name="TariffLongName" localSheetId="8">#REF!</definedName>
    <definedName name="TariffLongName">#REF!</definedName>
    <definedName name="TariffShortName" localSheetId="8">#REF!</definedName>
    <definedName name="TariffShortName">#REF!</definedName>
    <definedName name="TAXDATE" localSheetId="8">#REF!</definedName>
    <definedName name="TAXDATE">#REF!</definedName>
    <definedName name="TAXES" localSheetId="8">#REF!</definedName>
    <definedName name="TAXES">#REF!</definedName>
    <definedName name="TAXNAME" localSheetId="8">#REF!</definedName>
    <definedName name="TAXNAME">#REF!</definedName>
    <definedName name="TAXRATE" localSheetId="8">#REF!</definedName>
    <definedName name="TAXRATE">#REF!</definedName>
    <definedName name="TAXTYPE" localSheetId="8">#REF!</definedName>
    <definedName name="TAXTYPE">#REF!</definedName>
    <definedName name="TCst" localSheetId="8">#REF!</definedName>
    <definedName name="TCst">#REF!</definedName>
    <definedName name="TCst1" localSheetId="8">#REF!</definedName>
    <definedName name="TCst1">#REF!</definedName>
    <definedName name="TIRPCCHG" localSheetId="8">#REF!</definedName>
    <definedName name="TIRPCCHG">#REF!</definedName>
    <definedName name="TIRPDCHG1" localSheetId="8">#REF!</definedName>
    <definedName name="TIRPDCHG1">#REF!</definedName>
    <definedName name="TIRPDCHG2" localSheetId="8">#REF!</definedName>
    <definedName name="TIRPDCHG2">#REF!</definedName>
    <definedName name="TIRPECHG1" localSheetId="8">#REF!</definedName>
    <definedName name="TIRPECHG1">#REF!</definedName>
    <definedName name="TIRPECHGB1" localSheetId="8">#REF!</definedName>
    <definedName name="TIRPECHGB1">#REF!</definedName>
    <definedName name="TIRPECHGB2" localSheetId="8">#REF!</definedName>
    <definedName name="TIRPECHGB2">#REF!</definedName>
    <definedName name="TIRPECHGB3" localSheetId="8">#REF!</definedName>
    <definedName name="TIRPECHGB3">#REF!</definedName>
    <definedName name="TIRPMECHG1" localSheetId="8">#REF!</definedName>
    <definedName name="TIRPMECHG1">#REF!</definedName>
    <definedName name="TIRPMINDC" localSheetId="8">#REF!</definedName>
    <definedName name="TIRPMINDC">#REF!</definedName>
    <definedName name="TIRPMINEC" localSheetId="8">#REF!</definedName>
    <definedName name="TIRPMINEC">#REF!</definedName>
    <definedName name="TIRPOFKVA" localSheetId="8">#REF!</definedName>
    <definedName name="TIRPOFKVA">#REF!</definedName>
    <definedName name="TIRPOFKW" localSheetId="8">#REF!</definedName>
    <definedName name="TIRPOFKW">#REF!</definedName>
    <definedName name="TIRPOFKWH" localSheetId="8">#REF!</definedName>
    <definedName name="TIRPOFKWH">#REF!</definedName>
    <definedName name="TIRPOPKWH" localSheetId="8">#REF!</definedName>
    <definedName name="TIRPOPKWH">#REF!</definedName>
    <definedName name="TIRPP1EC" localSheetId="8">#REF!</definedName>
    <definedName name="TIRPP1EC">#REF!</definedName>
    <definedName name="TIRPP2EC" localSheetId="8">#REF!</definedName>
    <definedName name="TIRPP2EC">#REF!</definedName>
    <definedName name="TIRPP3EC" localSheetId="8">#REF!</definedName>
    <definedName name="TIRPP3EC">#REF!</definedName>
    <definedName name="TIRPP4EC" localSheetId="8">#REF!</definedName>
    <definedName name="TIRPP4EC">#REF!</definedName>
    <definedName name="TIRPP5EC" localSheetId="8">#REF!</definedName>
    <definedName name="TIRPP5EC">#REF!</definedName>
    <definedName name="TIRPRCHG" localSheetId="8">#REF!</definedName>
    <definedName name="TIRPRCHG">#REF!</definedName>
    <definedName name="TLsFctr" localSheetId="8">#REF!</definedName>
    <definedName name="TLsFctr">#REF!</definedName>
    <definedName name="TRCRDKWH" localSheetId="8">#REF!</definedName>
    <definedName name="TRCRDKWH">#REF!</definedName>
    <definedName name="TRCRDKWH2P" localSheetId="8">#REF!</definedName>
    <definedName name="TRCRDKWH2P">#REF!</definedName>
    <definedName name="TRFDATE1" localSheetId="8">#REF!</definedName>
    <definedName name="TRFDATE1">#REF!</definedName>
    <definedName name="TRFDATE2" localSheetId="8">#REF!</definedName>
    <definedName name="TRFDATE2">#REF!</definedName>
    <definedName name="TRFNAME1" localSheetId="8">#REF!</definedName>
    <definedName name="TRFNAME1">#REF!</definedName>
    <definedName name="TRFNAME2" localSheetId="8">#REF!</definedName>
    <definedName name="TRFNAME2">#REF!</definedName>
    <definedName name="TRFSHORTNM1" localSheetId="8">#REF!</definedName>
    <definedName name="TRFSHORTNM1">#REF!</definedName>
    <definedName name="TRFSHORTNM2" localSheetId="8">#REF!</definedName>
    <definedName name="TRFSHORTNM2">#REF!</definedName>
    <definedName name="TrnBlkKwhChg1" localSheetId="8">#REF!</definedName>
    <definedName name="TrnBlkKwhChg1">#REF!</definedName>
    <definedName name="TrnBlkKwhChg2" localSheetId="8">#REF!</definedName>
    <definedName name="TrnBlkKwhChg2">#REF!</definedName>
    <definedName name="TrnBlkKwhChg3" localSheetId="8">#REF!</definedName>
    <definedName name="TrnBlkKwhChg3">#REF!</definedName>
    <definedName name="TrnBlkKwhChgT" localSheetId="8">#REF!</definedName>
    <definedName name="TrnBlkKwhChgT">#REF!</definedName>
    <definedName name="TRNCCHG" localSheetId="8">#REF!</definedName>
    <definedName name="TRNCCHG">#REF!</definedName>
    <definedName name="TrnCustChg" localSheetId="8">#REF!</definedName>
    <definedName name="TrnCustChg">#REF!</definedName>
    <definedName name="TRNDCHG1" localSheetId="8">#REF!</definedName>
    <definedName name="TRNDCHG1">#REF!</definedName>
    <definedName name="TRNDCHG2" localSheetId="8">#REF!</definedName>
    <definedName name="TRNDCHG2">#REF!</definedName>
    <definedName name="TrnDmdChg1" localSheetId="8">#REF!</definedName>
    <definedName name="TrnDmdChg1">#REF!</definedName>
    <definedName name="TrnDmdChg2" localSheetId="8">#REF!</definedName>
    <definedName name="TrnDmdChg2">#REF!</definedName>
    <definedName name="TRNECHG1" localSheetId="8">#REF!</definedName>
    <definedName name="TRNECHG1">#REF!</definedName>
    <definedName name="TRNECHGB1" localSheetId="8">#REF!</definedName>
    <definedName name="TRNECHGB1">#REF!</definedName>
    <definedName name="TRNECHGB2" localSheetId="8">#REF!</definedName>
    <definedName name="TRNECHGB2">#REF!</definedName>
    <definedName name="TRNECHGB3" localSheetId="8">#REF!</definedName>
    <definedName name="TRNECHGB3">#REF!</definedName>
    <definedName name="TrnMEChg" localSheetId="8">#REF!</definedName>
    <definedName name="TrnMEChg">#REF!</definedName>
    <definedName name="TRNMECHG1" localSheetId="8">#REF!</definedName>
    <definedName name="TRNMECHG1">#REF!</definedName>
    <definedName name="TRNMINDC" localSheetId="8">#REF!</definedName>
    <definedName name="TRNMINDC">#REF!</definedName>
    <definedName name="TrnMinDChg" localSheetId="8">#REF!</definedName>
    <definedName name="TrnMinDChg">#REF!</definedName>
    <definedName name="TRNMINEC" localSheetId="8">#REF!</definedName>
    <definedName name="TRNMINEC">#REF!</definedName>
    <definedName name="TrnMinEChg" localSheetId="8">#REF!</definedName>
    <definedName name="TrnMinEChg">#REF!</definedName>
    <definedName name="TrnOffPkKwh" localSheetId="8">#REF!</definedName>
    <definedName name="TrnOffPkKwh">#REF!</definedName>
    <definedName name="TRNOFKWH" localSheetId="8">#REF!</definedName>
    <definedName name="TRNOFKWH">#REF!</definedName>
    <definedName name="TrnOnPkKwh" localSheetId="8">#REF!</definedName>
    <definedName name="TrnOnPkKwh">#REF!</definedName>
    <definedName name="TRNOPKWH" localSheetId="8">#REF!</definedName>
    <definedName name="TRNOPKWH">#REF!</definedName>
    <definedName name="TRNP1EC" localSheetId="8">#REF!</definedName>
    <definedName name="TRNP1EC">#REF!</definedName>
    <definedName name="TRNP2EC" localSheetId="8">#REF!</definedName>
    <definedName name="TRNP2EC">#REF!</definedName>
    <definedName name="TRNP3EC" localSheetId="8">#REF!</definedName>
    <definedName name="TRNP3EC">#REF!</definedName>
    <definedName name="TRNP4EC" localSheetId="8">#REF!</definedName>
    <definedName name="TRNP4EC">#REF!</definedName>
    <definedName name="TRNP5EC" localSheetId="8">#REF!</definedName>
    <definedName name="TRNP5EC">#REF!</definedName>
    <definedName name="TrnPL1Chg" localSheetId="8">#REF!</definedName>
    <definedName name="TrnPL1Chg">#REF!</definedName>
    <definedName name="TrnPL2Chg" localSheetId="8">#REF!</definedName>
    <definedName name="TrnPL2Chg">#REF!</definedName>
    <definedName name="TrnPL3Chg" localSheetId="8">#REF!</definedName>
    <definedName name="TrnPL3Chg">#REF!</definedName>
    <definedName name="TrnPL4Chg" localSheetId="8">#REF!</definedName>
    <definedName name="TrnPL4Chg">#REF!</definedName>
    <definedName name="TrnPL5Chg" localSheetId="8">#REF!</definedName>
    <definedName name="TrnPL5Chg">#REF!</definedName>
    <definedName name="TRNRCHG" localSheetId="8">#REF!</definedName>
    <definedName name="TRNRCHG">#REF!</definedName>
    <definedName name="TrnReactiveChg" localSheetId="8">#REF!</definedName>
    <definedName name="TrnReactiveChg">#REF!</definedName>
    <definedName name="TRNSKWTOFPK" localSheetId="8">#REF!</definedName>
    <definedName name="TRNSKWTOFPK">#REF!</definedName>
    <definedName name="TRNSKWTONPK" localSheetId="8">#REF!</definedName>
    <definedName name="TRNSKWTONPK">#REF!</definedName>
    <definedName name="TRNXOFKVA" localSheetId="8">#REF!</definedName>
    <definedName name="TRNXOFKVA">#REF!</definedName>
    <definedName name="TRNXOFKW" localSheetId="8">#REF!</definedName>
    <definedName name="TRNXOFKW">#REF!</definedName>
    <definedName name="TrnXOfpKvaChg" localSheetId="8">#REF!</definedName>
    <definedName name="TrnXOfpKvaChg">#REF!</definedName>
    <definedName name="TrnXOfpKwChg" localSheetId="8">#REF!</definedName>
    <definedName name="TrnXOfpKwChg">#REF!</definedName>
    <definedName name="TTLBSRATETTL" localSheetId="8">#REF!</definedName>
    <definedName name="TTLBSRATETTL">#REF!</definedName>
    <definedName name="TTLCOGENKWH" localSheetId="8">#REF!</definedName>
    <definedName name="TTLCOGENKWH">#REF!</definedName>
    <definedName name="UNBUNDIND" localSheetId="8">#REF!</definedName>
    <definedName name="UNBUNDIND">#REF!</definedName>
    <definedName name="Z_59817C1F_0731_403A_A1D5_70099C98272D_.wvu.PrintArea" localSheetId="9" hidden="1">'Zonal Rates - 2026'!$A$1:$U$55</definedName>
    <definedName name="Z_59817C1F_0731_403A_A1D5_70099C98272D_.wvu.PrintArea" localSheetId="7" hidden="1">'Zonal Rates 2025'!$A$1:$U$66</definedName>
    <definedName name="Zip" localSheetId="8">#REF!</definedName>
    <definedName name="Zi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L8" i="3"/>
  <c r="L7" i="3"/>
  <c r="L6" i="3"/>
  <c r="L5" i="3"/>
  <c r="L17" i="8"/>
  <c r="L16" i="8"/>
  <c r="L15" i="8"/>
  <c r="L14" i="8"/>
  <c r="L13" i="8"/>
  <c r="L9" i="8"/>
  <c r="L10" i="8"/>
  <c r="L8" i="8"/>
  <c r="L6" i="8"/>
  <c r="B34" i="14"/>
  <c r="E33" i="14"/>
  <c r="D33" i="14"/>
  <c r="C33" i="14"/>
  <c r="B33" i="14"/>
  <c r="F33" i="14" s="1"/>
  <c r="G33" i="14" s="1"/>
  <c r="H33" i="14" s="1"/>
  <c r="F32" i="14"/>
  <c r="G32" i="14" s="1"/>
  <c r="H32" i="14" s="1"/>
  <c r="E32" i="14"/>
  <c r="D32" i="14"/>
  <c r="C32" i="14"/>
  <c r="B32" i="14"/>
  <c r="E31" i="14"/>
  <c r="F31" i="14" s="1"/>
  <c r="G31" i="14" s="1"/>
  <c r="H31" i="14" s="1"/>
  <c r="D31" i="14"/>
  <c r="C31" i="14"/>
  <c r="B31" i="14"/>
  <c r="E30" i="14"/>
  <c r="D30" i="14"/>
  <c r="F30" i="14" s="1"/>
  <c r="G30" i="14" s="1"/>
  <c r="H30" i="14" s="1"/>
  <c r="C30" i="14"/>
  <c r="B30" i="14"/>
  <c r="E29" i="14"/>
  <c r="E34" i="14" s="1"/>
  <c r="D29" i="14"/>
  <c r="D34" i="14" s="1"/>
  <c r="C29" i="14"/>
  <c r="C34" i="14" s="1"/>
  <c r="B29" i="14"/>
  <c r="F29" i="14" s="1"/>
  <c r="D27" i="14"/>
  <c r="D36" i="14" s="1"/>
  <c r="C27" i="14"/>
  <c r="C36" i="14" s="1"/>
  <c r="B27" i="14"/>
  <c r="B36" i="14" s="1"/>
  <c r="E26" i="14"/>
  <c r="D26" i="14"/>
  <c r="C26" i="14"/>
  <c r="B26" i="14"/>
  <c r="F26" i="14" s="1"/>
  <c r="G26" i="14" s="1"/>
  <c r="H26" i="14" s="1"/>
  <c r="E25" i="14"/>
  <c r="D25" i="14"/>
  <c r="C25" i="14"/>
  <c r="B25" i="14"/>
  <c r="F25" i="14" s="1"/>
  <c r="G25" i="14" s="1"/>
  <c r="H25" i="14" s="1"/>
  <c r="E24" i="14"/>
  <c r="D24" i="14"/>
  <c r="C24" i="14"/>
  <c r="B24" i="14"/>
  <c r="F24" i="14" s="1"/>
  <c r="G24" i="14" s="1"/>
  <c r="H24" i="14" s="1"/>
  <c r="F23" i="14"/>
  <c r="E23" i="14"/>
  <c r="E27" i="14" s="1"/>
  <c r="E36" i="14" s="1"/>
  <c r="D23" i="14"/>
  <c r="C23" i="14"/>
  <c r="B23" i="14"/>
  <c r="G20" i="14"/>
  <c r="G14" i="14"/>
  <c r="G13" i="14"/>
  <c r="G12" i="14"/>
  <c r="G11" i="14"/>
  <c r="G10" i="14"/>
  <c r="G9" i="14"/>
  <c r="G8" i="14"/>
  <c r="G7" i="14"/>
  <c r="G6" i="14"/>
  <c r="G15" i="14" s="1"/>
  <c r="C20" i="8"/>
  <c r="C11" i="8"/>
  <c r="F34" i="14" l="1"/>
  <c r="G29" i="14"/>
  <c r="F27" i="14"/>
  <c r="F36" i="14" s="1"/>
  <c r="G23" i="14"/>
  <c r="L18" i="8"/>
  <c r="L20" i="8"/>
  <c r="L21" i="8"/>
  <c r="G27" i="14" l="1"/>
  <c r="H23" i="14"/>
  <c r="H27" i="14" s="1"/>
  <c r="H36" i="14" s="1"/>
  <c r="G34" i="14"/>
  <c r="H29" i="14"/>
  <c r="H34" i="14" s="1"/>
  <c r="D14" i="8"/>
  <c r="D15" i="8"/>
  <c r="D16" i="8"/>
  <c r="D17" i="8"/>
  <c r="D13" i="8"/>
  <c r="D7" i="8"/>
  <c r="D8" i="8"/>
  <c r="D9" i="8"/>
  <c r="D10" i="8"/>
  <c r="D6" i="8"/>
  <c r="C29" i="1"/>
  <c r="C30" i="8"/>
  <c r="C29" i="8"/>
  <c r="C28" i="1"/>
  <c r="C32" i="13"/>
  <c r="C29" i="13"/>
  <c r="G16" i="13" s="1"/>
  <c r="C28" i="13"/>
  <c r="G9" i="13" s="1"/>
  <c r="C22" i="13"/>
  <c r="C21" i="13"/>
  <c r="C19" i="13"/>
  <c r="D18" i="13"/>
  <c r="F18" i="13" s="1"/>
  <c r="C12" i="13"/>
  <c r="D10" i="13"/>
  <c r="F10" i="13" s="1"/>
  <c r="D8" i="13"/>
  <c r="F8" i="13" s="1"/>
  <c r="G36" i="14" l="1"/>
  <c r="C31" i="8"/>
  <c r="D21" i="8"/>
  <c r="D20" i="8"/>
  <c r="L30" i="8"/>
  <c r="L29" i="8"/>
  <c r="J7" i="8"/>
  <c r="J17" i="8"/>
  <c r="J9" i="8"/>
  <c r="G15" i="13"/>
  <c r="G14" i="13"/>
  <c r="C25" i="13"/>
  <c r="C36" i="13"/>
  <c r="C23" i="13"/>
  <c r="G17" i="13"/>
  <c r="G7" i="13"/>
  <c r="C30" i="13"/>
  <c r="F22" i="13"/>
  <c r="C35" i="13"/>
  <c r="G11" i="13"/>
  <c r="D22" i="13"/>
  <c r="D32" i="13"/>
  <c r="F32" i="13" s="1"/>
  <c r="L11" i="8"/>
  <c r="L24" i="8" s="1"/>
  <c r="L31" i="8" l="1"/>
  <c r="D22" i="8"/>
  <c r="D24" i="8" s="1"/>
  <c r="C37" i="13"/>
  <c r="L22" i="8"/>
  <c r="C32" i="12" l="1"/>
  <c r="C29" i="12"/>
  <c r="G14" i="12" s="1"/>
  <c r="C28" i="12"/>
  <c r="C35" i="12" s="1"/>
  <c r="C22" i="12"/>
  <c r="C21" i="12"/>
  <c r="C19" i="12"/>
  <c r="D18" i="12"/>
  <c r="H17" i="8" s="1"/>
  <c r="C12" i="12"/>
  <c r="D10" i="12"/>
  <c r="F10" i="12" s="1"/>
  <c r="D8" i="12"/>
  <c r="F8" i="12" s="1"/>
  <c r="C23" i="12" l="1"/>
  <c r="G16" i="12"/>
  <c r="C36" i="12"/>
  <c r="C37" i="12" s="1"/>
  <c r="F18" i="12"/>
  <c r="H7" i="8"/>
  <c r="D22" i="12"/>
  <c r="C25" i="12"/>
  <c r="H9" i="8"/>
  <c r="H21" i="8" s="1"/>
  <c r="G15" i="12"/>
  <c r="G17" i="12"/>
  <c r="C30" i="12"/>
  <c r="G11" i="12"/>
  <c r="G9" i="12"/>
  <c r="D32" i="12"/>
  <c r="G7" i="12"/>
  <c r="B34" i="11"/>
  <c r="C30" i="11" s="1"/>
  <c r="B20" i="11"/>
  <c r="F22" i="12" l="1"/>
  <c r="J21" i="8"/>
  <c r="C28" i="11"/>
  <c r="C29" i="11"/>
  <c r="C34" i="11"/>
  <c r="C33" i="11"/>
  <c r="C32" i="11"/>
  <c r="C31" i="11"/>
  <c r="F32" i="12"/>
  <c r="C19" i="11"/>
  <c r="C18" i="11"/>
  <c r="C17" i="11"/>
  <c r="C16" i="11"/>
  <c r="C15" i="11"/>
  <c r="C14" i="11"/>
  <c r="B8" i="11"/>
  <c r="I51" i="10"/>
  <c r="I50" i="10"/>
  <c r="G50" i="10"/>
  <c r="S49" i="10"/>
  <c r="S52" i="10" s="1"/>
  <c r="Q49" i="10"/>
  <c r="Q52" i="10" s="1"/>
  <c r="O49" i="10"/>
  <c r="O52" i="10" s="1"/>
  <c r="M49" i="10"/>
  <c r="M52" i="10" s="1"/>
  <c r="K49" i="10"/>
  <c r="K52" i="10" s="1"/>
  <c r="D49" i="10"/>
  <c r="D46" i="10"/>
  <c r="D45" i="10"/>
  <c r="D44" i="10"/>
  <c r="D43" i="10"/>
  <c r="D42" i="10"/>
  <c r="D41" i="10"/>
  <c r="D40" i="10"/>
  <c r="D39" i="10"/>
  <c r="I34" i="10"/>
  <c r="I32" i="10"/>
  <c r="I28" i="10"/>
  <c r="G28" i="10"/>
  <c r="S24" i="10"/>
  <c r="Q24" i="10"/>
  <c r="O24" i="10"/>
  <c r="M24" i="10"/>
  <c r="K24" i="10"/>
  <c r="I23" i="10"/>
  <c r="G23" i="10"/>
  <c r="I22" i="10"/>
  <c r="S19" i="10"/>
  <c r="Q19" i="10"/>
  <c r="O19" i="10"/>
  <c r="M19" i="10"/>
  <c r="K19" i="10"/>
  <c r="K26" i="10" s="1"/>
  <c r="K30" i="10" s="1"/>
  <c r="K36" i="10" s="1"/>
  <c r="I17" i="10"/>
  <c r="B17" i="10"/>
  <c r="B19" i="10" s="1"/>
  <c r="B21" i="10" s="1"/>
  <c r="B22" i="10" s="1"/>
  <c r="B23" i="10" s="1"/>
  <c r="B24" i="10" s="1"/>
  <c r="I15" i="10"/>
  <c r="A5" i="10"/>
  <c r="A4" i="10"/>
  <c r="I54" i="9"/>
  <c r="I53" i="9"/>
  <c r="G53" i="9"/>
  <c r="D52" i="9"/>
  <c r="D49" i="9"/>
  <c r="D48" i="9"/>
  <c r="D47" i="9"/>
  <c r="D46" i="9"/>
  <c r="D45" i="9"/>
  <c r="D44" i="9"/>
  <c r="D43" i="9"/>
  <c r="D41" i="9"/>
  <c r="I36" i="9"/>
  <c r="I34" i="9"/>
  <c r="I33" i="9"/>
  <c r="D33" i="9"/>
  <c r="I32" i="9"/>
  <c r="G32" i="9"/>
  <c r="D32" i="9"/>
  <c r="I28" i="9"/>
  <c r="G28" i="9"/>
  <c r="U24" i="9"/>
  <c r="U52" i="9" s="1"/>
  <c r="U55" i="9" s="1"/>
  <c r="S24" i="9"/>
  <c r="S52" i="9" s="1"/>
  <c r="S55" i="9" s="1"/>
  <c r="Q24" i="9"/>
  <c r="Q52" i="9" s="1"/>
  <c r="Q55" i="9" s="1"/>
  <c r="O24" i="9"/>
  <c r="O52" i="9" s="1"/>
  <c r="O55" i="9" s="1"/>
  <c r="M24" i="9"/>
  <c r="M52" i="9" s="1"/>
  <c r="M55" i="9" s="1"/>
  <c r="K24" i="9"/>
  <c r="K52" i="9" s="1"/>
  <c r="I23" i="9"/>
  <c r="G23" i="9"/>
  <c r="I22" i="9"/>
  <c r="U19" i="9"/>
  <c r="S19" i="9"/>
  <c r="Q19" i="9"/>
  <c r="O19" i="9"/>
  <c r="M19" i="9"/>
  <c r="K19" i="9"/>
  <c r="I17" i="9"/>
  <c r="B17" i="9"/>
  <c r="B19" i="9" s="1"/>
  <c r="B21" i="9" s="1"/>
  <c r="B22" i="9" s="1"/>
  <c r="B23" i="9" s="1"/>
  <c r="B24" i="9" s="1"/>
  <c r="I15" i="9"/>
  <c r="A5" i="9"/>
  <c r="F14" i="8"/>
  <c r="F15" i="8"/>
  <c r="F16" i="8"/>
  <c r="F17" i="8"/>
  <c r="F13" i="8"/>
  <c r="F7" i="8"/>
  <c r="F8" i="8"/>
  <c r="F9" i="8"/>
  <c r="F10" i="8"/>
  <c r="F6" i="8"/>
  <c r="F4" i="8"/>
  <c r="C21" i="8"/>
  <c r="C18" i="8"/>
  <c r="C24" i="8" s="1"/>
  <c r="F29" i="8" l="1"/>
  <c r="F30" i="8"/>
  <c r="Q26" i="9"/>
  <c r="Q30" i="9" s="1"/>
  <c r="Q38" i="9" s="1"/>
  <c r="Q26" i="10"/>
  <c r="Q30" i="10" s="1"/>
  <c r="Q36" i="10" s="1"/>
  <c r="M26" i="9"/>
  <c r="M30" i="9" s="1"/>
  <c r="M38" i="9" s="1"/>
  <c r="K26" i="9"/>
  <c r="K30" i="9" s="1"/>
  <c r="K38" i="9" s="1"/>
  <c r="U26" i="9"/>
  <c r="U30" i="9" s="1"/>
  <c r="U38" i="9" s="1"/>
  <c r="I24" i="9"/>
  <c r="S26" i="10"/>
  <c r="S30" i="10" s="1"/>
  <c r="S36" i="10" s="1"/>
  <c r="S26" i="9"/>
  <c r="S30" i="9" s="1"/>
  <c r="S38" i="9" s="1"/>
  <c r="I24" i="10"/>
  <c r="O26" i="9"/>
  <c r="O30" i="9" s="1"/>
  <c r="O38" i="9" s="1"/>
  <c r="O26" i="10"/>
  <c r="O30" i="10" s="1"/>
  <c r="O36" i="10" s="1"/>
  <c r="F21" i="8"/>
  <c r="L26" i="8"/>
  <c r="F18" i="8"/>
  <c r="M26" i="10"/>
  <c r="M30" i="10" s="1"/>
  <c r="M36" i="10" s="1"/>
  <c r="F11" i="8"/>
  <c r="F20" i="8"/>
  <c r="C7" i="11"/>
  <c r="C6" i="11"/>
  <c r="H10" i="11" s="1"/>
  <c r="I17" i="11" s="1"/>
  <c r="I52" i="9"/>
  <c r="I55" i="9" s="1"/>
  <c r="K55" i="9"/>
  <c r="G26" i="9"/>
  <c r="G52" i="9"/>
  <c r="B26" i="9"/>
  <c r="B26" i="10"/>
  <c r="G49" i="10"/>
  <c r="G26" i="10"/>
  <c r="I19" i="9"/>
  <c r="I19" i="10"/>
  <c r="I49" i="10"/>
  <c r="I52" i="10" s="1"/>
  <c r="C22" i="8"/>
  <c r="D26" i="8" l="1"/>
  <c r="F31" i="8"/>
  <c r="M10" i="11"/>
  <c r="N17" i="11" s="1"/>
  <c r="D29" i="13" s="1"/>
  <c r="I26" i="9"/>
  <c r="I30" i="9" s="1"/>
  <c r="I38" i="9" s="1"/>
  <c r="F22" i="8"/>
  <c r="F24" i="8"/>
  <c r="F26" i="8" s="1"/>
  <c r="I26" i="10"/>
  <c r="I30" i="10" s="1"/>
  <c r="B28" i="9"/>
  <c r="B30" i="9" s="1"/>
  <c r="B28" i="10"/>
  <c r="B30" i="10" s="1"/>
  <c r="D29" i="12" l="1"/>
  <c r="F29" i="12" s="1"/>
  <c r="I43" i="9"/>
  <c r="I49" i="9" s="1"/>
  <c r="M5" i="11"/>
  <c r="F29" i="13"/>
  <c r="D14" i="13"/>
  <c r="J13" i="8" s="1"/>
  <c r="D36" i="13"/>
  <c r="F36" i="13" s="1"/>
  <c r="D16" i="13"/>
  <c r="D11" i="13"/>
  <c r="H5" i="11"/>
  <c r="G30" i="10"/>
  <c r="I36" i="10"/>
  <c r="H6" i="11"/>
  <c r="G30" i="9"/>
  <c r="B32" i="10"/>
  <c r="B36" i="10" s="1"/>
  <c r="B34" i="9"/>
  <c r="B38" i="9" s="1"/>
  <c r="B32" i="9"/>
  <c r="B33" i="9" s="1"/>
  <c r="F16" i="13" l="1"/>
  <c r="J15" i="8"/>
  <c r="F11" i="13"/>
  <c r="J10" i="8"/>
  <c r="J17" i="11"/>
  <c r="D14" i="12"/>
  <c r="F14" i="12" s="1"/>
  <c r="D11" i="12"/>
  <c r="F11" i="12" s="1"/>
  <c r="D16" i="12"/>
  <c r="F16" i="12" s="1"/>
  <c r="D36" i="12"/>
  <c r="F36" i="12" s="1"/>
  <c r="I40" i="10"/>
  <c r="I44" i="10" s="1"/>
  <c r="M6" i="11"/>
  <c r="M8" i="11" s="1"/>
  <c r="M11" i="11" s="1"/>
  <c r="I46" i="9"/>
  <c r="I44" i="9"/>
  <c r="I47" i="9"/>
  <c r="I45" i="9"/>
  <c r="I48" i="9"/>
  <c r="F14" i="13"/>
  <c r="H8" i="11"/>
  <c r="H11" i="11" s="1"/>
  <c r="H14" i="11" s="1"/>
  <c r="G36" i="10"/>
  <c r="G38" i="9"/>
  <c r="B41" i="9"/>
  <c r="B43" i="9" s="1"/>
  <c r="B39" i="10"/>
  <c r="B40" i="10" s="1"/>
  <c r="J30" i="8" l="1"/>
  <c r="I45" i="10"/>
  <c r="H15" i="8"/>
  <c r="O17" i="11"/>
  <c r="D28" i="13" s="1"/>
  <c r="I46" i="10"/>
  <c r="I41" i="10"/>
  <c r="I43" i="10"/>
  <c r="H13" i="8"/>
  <c r="M14" i="11"/>
  <c r="M15" i="11"/>
  <c r="M16" i="11"/>
  <c r="M17" i="11"/>
  <c r="M18" i="11"/>
  <c r="M19" i="11"/>
  <c r="H10" i="8"/>
  <c r="I42" i="10"/>
  <c r="H18" i="11"/>
  <c r="D28" i="12"/>
  <c r="D9" i="12" s="1"/>
  <c r="F9" i="12" s="1"/>
  <c r="H15" i="11"/>
  <c r="H19" i="11"/>
  <c r="H16" i="11"/>
  <c r="H17" i="11"/>
  <c r="G40" i="10"/>
  <c r="G43" i="10"/>
  <c r="G41" i="10"/>
  <c r="G45" i="10"/>
  <c r="B41" i="10"/>
  <c r="B42" i="10" s="1"/>
  <c r="B43" i="10" s="1"/>
  <c r="B44" i="10" s="1"/>
  <c r="B45" i="10" s="1"/>
  <c r="B46" i="10" s="1"/>
  <c r="B49" i="10" s="1"/>
  <c r="B50" i="10" s="1"/>
  <c r="B51" i="10" s="1"/>
  <c r="B52" i="10" s="1"/>
  <c r="G46" i="10"/>
  <c r="G44" i="10"/>
  <c r="G42" i="10"/>
  <c r="B44" i="9"/>
  <c r="B45" i="9" s="1"/>
  <c r="B46" i="9" s="1"/>
  <c r="B47" i="9" s="1"/>
  <c r="B48" i="9" s="1"/>
  <c r="B49" i="9" s="1"/>
  <c r="B52" i="9" s="1"/>
  <c r="B53" i="9" s="1"/>
  <c r="B54" i="9" s="1"/>
  <c r="B55" i="9" s="1"/>
  <c r="G49" i="9"/>
  <c r="G47" i="9"/>
  <c r="G45" i="9"/>
  <c r="G48" i="9"/>
  <c r="G46" i="9"/>
  <c r="G44" i="9"/>
  <c r="G43" i="9"/>
  <c r="H30" i="8" l="1"/>
  <c r="M21" i="11"/>
  <c r="F28" i="12"/>
  <c r="F30" i="12" s="1"/>
  <c r="D35" i="12"/>
  <c r="D37" i="12" s="1"/>
  <c r="D17" i="12"/>
  <c r="F17" i="12" s="1"/>
  <c r="D30" i="12"/>
  <c r="H8" i="8"/>
  <c r="D15" i="12"/>
  <c r="F15" i="12" s="1"/>
  <c r="D7" i="12"/>
  <c r="H6" i="8" s="1"/>
  <c r="F28" i="13"/>
  <c r="F30" i="13" s="1"/>
  <c r="D30" i="13"/>
  <c r="D35" i="13"/>
  <c r="D15" i="13"/>
  <c r="J14" i="8" s="1"/>
  <c r="D9" i="13"/>
  <c r="D17" i="13"/>
  <c r="D7" i="13"/>
  <c r="J6" i="8" s="1"/>
  <c r="H21" i="11"/>
  <c r="F17" i="13" l="1"/>
  <c r="J16" i="8"/>
  <c r="J18" i="8" s="1"/>
  <c r="F9" i="13"/>
  <c r="J8" i="8"/>
  <c r="H11" i="8"/>
  <c r="D12" i="12"/>
  <c r="H14" i="8"/>
  <c r="F19" i="12"/>
  <c r="F7" i="12"/>
  <c r="H16" i="8"/>
  <c r="F15" i="13"/>
  <c r="D21" i="13"/>
  <c r="D23" i="13" s="1"/>
  <c r="D19" i="13"/>
  <c r="D37" i="13"/>
  <c r="F35" i="13"/>
  <c r="F37" i="13" s="1"/>
  <c r="F35" i="12"/>
  <c r="F37" i="12" s="1"/>
  <c r="D21" i="12"/>
  <c r="D23" i="12" s="1"/>
  <c r="D25" i="12" s="1"/>
  <c r="F7" i="13"/>
  <c r="D12" i="13"/>
  <c r="D19" i="12"/>
  <c r="J29" i="8" l="1"/>
  <c r="J31" i="8" s="1"/>
  <c r="H29" i="8"/>
  <c r="H31" i="8" s="1"/>
  <c r="F12" i="13"/>
  <c r="F12" i="12"/>
  <c r="F23" i="12" s="1"/>
  <c r="H18" i="8"/>
  <c r="H24" i="8" s="1"/>
  <c r="H26" i="8" s="1"/>
  <c r="H20" i="8"/>
  <c r="H22" i="8" s="1"/>
  <c r="F21" i="12"/>
  <c r="F25" i="12"/>
  <c r="F31" i="12" s="1"/>
  <c r="F25" i="13"/>
  <c r="F31" i="13" s="1"/>
  <c r="D25" i="13"/>
  <c r="F19" i="13"/>
  <c r="F21" i="13"/>
  <c r="F23" i="13" l="1"/>
  <c r="J11" i="8"/>
  <c r="J24" i="8" s="1"/>
  <c r="J26" i="8" s="1"/>
  <c r="J20" i="8"/>
  <c r="J22" i="8" s="1"/>
  <c r="C22" i="1" l="1"/>
  <c r="M62" i="6" l="1"/>
  <c r="I62" i="6" s="1"/>
  <c r="I61" i="6"/>
  <c r="I60" i="6"/>
  <c r="I59" i="6"/>
  <c r="I58" i="6"/>
  <c r="G58" i="6"/>
  <c r="S57" i="6"/>
  <c r="S63" i="6" s="1"/>
  <c r="Q57" i="6"/>
  <c r="Q63" i="6" s="1"/>
  <c r="O57" i="6"/>
  <c r="O63" i="6" s="1"/>
  <c r="M57" i="6"/>
  <c r="K57" i="6"/>
  <c r="K63" i="6" s="1"/>
  <c r="D57" i="6"/>
  <c r="D54" i="6"/>
  <c r="D53" i="6"/>
  <c r="D52" i="6"/>
  <c r="D51" i="6"/>
  <c r="D50" i="6"/>
  <c r="D49" i="6"/>
  <c r="D48" i="6"/>
  <c r="D47" i="6"/>
  <c r="I42" i="6"/>
  <c r="I40" i="6"/>
  <c r="I38" i="6"/>
  <c r="I36" i="6"/>
  <c r="I34" i="6"/>
  <c r="I32" i="6"/>
  <c r="I28" i="6"/>
  <c r="G28" i="6"/>
  <c r="S24" i="6"/>
  <c r="Q24" i="6"/>
  <c r="O24" i="6"/>
  <c r="M24" i="6"/>
  <c r="K24" i="6"/>
  <c r="I23" i="6"/>
  <c r="G23" i="6"/>
  <c r="I22" i="6"/>
  <c r="S19" i="6"/>
  <c r="Q19" i="6"/>
  <c r="O19" i="6"/>
  <c r="M19" i="6"/>
  <c r="M26" i="6" s="1"/>
  <c r="M30" i="6" s="1"/>
  <c r="M44" i="6" s="1"/>
  <c r="K19" i="6"/>
  <c r="I17" i="6"/>
  <c r="B17" i="6"/>
  <c r="B19" i="6" s="1"/>
  <c r="I15" i="6"/>
  <c r="A5" i="6"/>
  <c r="A4" i="6"/>
  <c r="I70" i="5" l="1"/>
  <c r="Q26" i="6"/>
  <c r="Q30" i="6" s="1"/>
  <c r="Q44" i="6" s="1"/>
  <c r="M63" i="6"/>
  <c r="I19" i="6"/>
  <c r="K26" i="6"/>
  <c r="K30" i="6" s="1"/>
  <c r="K44" i="6" s="1"/>
  <c r="O26" i="6"/>
  <c r="O30" i="6" s="1"/>
  <c r="O44" i="6" s="1"/>
  <c r="S26" i="6"/>
  <c r="S30" i="6" s="1"/>
  <c r="S44" i="6" s="1"/>
  <c r="I24" i="6"/>
  <c r="B21" i="6"/>
  <c r="B22" i="6" s="1"/>
  <c r="B23" i="6" s="1"/>
  <c r="B24" i="6" s="1"/>
  <c r="I57" i="6"/>
  <c r="I63" i="6" s="1"/>
  <c r="I26" i="6" l="1"/>
  <c r="I30" i="6" s="1"/>
  <c r="I44" i="6" s="1"/>
  <c r="I48" i="6" s="1"/>
  <c r="I54" i="6" s="1"/>
  <c r="G57" i="6"/>
  <c r="B26" i="6"/>
  <c r="G26" i="6"/>
  <c r="H6" i="3" l="1"/>
  <c r="I51" i="6"/>
  <c r="I49" i="6"/>
  <c r="I53" i="6"/>
  <c r="I50" i="6"/>
  <c r="I52" i="6"/>
  <c r="B28" i="6"/>
  <c r="B30" i="6" s="1"/>
  <c r="G30" i="6" l="1"/>
  <c r="B32" i="6"/>
  <c r="B44" i="6" s="1"/>
  <c r="B47" i="6" l="1"/>
  <c r="B48" i="6" s="1"/>
  <c r="G44" i="6"/>
  <c r="G48" i="6" l="1"/>
  <c r="G53" i="6"/>
  <c r="G51" i="6"/>
  <c r="G49" i="6"/>
  <c r="B49" i="6"/>
  <c r="B50" i="6" s="1"/>
  <c r="B51" i="6" s="1"/>
  <c r="B52" i="6" s="1"/>
  <c r="B53" i="6" s="1"/>
  <c r="B54" i="6" s="1"/>
  <c r="B57" i="6" s="1"/>
  <c r="B58" i="6" s="1"/>
  <c r="B59" i="6" s="1"/>
  <c r="B60" i="6" s="1"/>
  <c r="B61" i="6" s="1"/>
  <c r="B62" i="6" s="1"/>
  <c r="B63" i="6" s="1"/>
  <c r="G54" i="6"/>
  <c r="G52" i="6"/>
  <c r="G50" i="6"/>
  <c r="B7" i="3" l="1"/>
  <c r="B6" i="3"/>
  <c r="M65" i="5" l="1"/>
  <c r="I65" i="5" s="1"/>
  <c r="I64" i="5"/>
  <c r="I63" i="5"/>
  <c r="I62" i="5"/>
  <c r="I61" i="5"/>
  <c r="G61" i="5"/>
  <c r="D60" i="5"/>
  <c r="D57" i="5"/>
  <c r="D56" i="5"/>
  <c r="D55" i="5"/>
  <c r="D54" i="5"/>
  <c r="D53" i="5"/>
  <c r="D52" i="5"/>
  <c r="D51" i="5"/>
  <c r="D49" i="5"/>
  <c r="I44" i="5"/>
  <c r="I42" i="5"/>
  <c r="I40" i="5"/>
  <c r="I38" i="5"/>
  <c r="I36" i="5"/>
  <c r="I34" i="5"/>
  <c r="I33" i="5"/>
  <c r="D33" i="5"/>
  <c r="I32" i="5"/>
  <c r="G32" i="5"/>
  <c r="D32" i="5"/>
  <c r="I28" i="5"/>
  <c r="G28" i="5"/>
  <c r="U24" i="5"/>
  <c r="U60" i="5" s="1"/>
  <c r="U66" i="5" s="1"/>
  <c r="S24" i="5"/>
  <c r="S60" i="5" s="1"/>
  <c r="S66" i="5" s="1"/>
  <c r="Q24" i="5"/>
  <c r="Q60" i="5" s="1"/>
  <c r="Q66" i="5" s="1"/>
  <c r="O24" i="5"/>
  <c r="O60" i="5" s="1"/>
  <c r="O66" i="5" s="1"/>
  <c r="M24" i="5"/>
  <c r="M60" i="5" s="1"/>
  <c r="M66" i="5" s="1"/>
  <c r="K24" i="5"/>
  <c r="K60" i="5" s="1"/>
  <c r="I23" i="5"/>
  <c r="G23" i="5"/>
  <c r="I22" i="5"/>
  <c r="U19" i="5"/>
  <c r="S19" i="5"/>
  <c r="Q19" i="5"/>
  <c r="O19" i="5"/>
  <c r="M19" i="5"/>
  <c r="K19" i="5"/>
  <c r="I17" i="5"/>
  <c r="B17" i="5"/>
  <c r="B19" i="5" s="1"/>
  <c r="B21" i="5" s="1"/>
  <c r="B22" i="5" s="1"/>
  <c r="B23" i="5" s="1"/>
  <c r="B24" i="5" s="1"/>
  <c r="I15" i="5"/>
  <c r="A5" i="5"/>
  <c r="I69" i="5" l="1"/>
  <c r="I71" i="5" s="1"/>
  <c r="K26" i="5"/>
  <c r="K30" i="5" s="1"/>
  <c r="K46" i="5" s="1"/>
  <c r="M26" i="5"/>
  <c r="M30" i="5" s="1"/>
  <c r="M46" i="5" s="1"/>
  <c r="I19" i="5"/>
  <c r="O26" i="5"/>
  <c r="O30" i="5" s="1"/>
  <c r="O46" i="5" s="1"/>
  <c r="I24" i="5"/>
  <c r="U26" i="5"/>
  <c r="U30" i="5" s="1"/>
  <c r="U46" i="5" s="1"/>
  <c r="G60" i="5"/>
  <c r="B26" i="5"/>
  <c r="I60" i="5"/>
  <c r="I66" i="5" s="1"/>
  <c r="K66" i="5"/>
  <c r="Q26" i="5"/>
  <c r="Q30" i="5" s="1"/>
  <c r="Q46" i="5" s="1"/>
  <c r="S26" i="5"/>
  <c r="S30" i="5" s="1"/>
  <c r="S46" i="5" s="1"/>
  <c r="G26" i="5"/>
  <c r="I26" i="5" l="1"/>
  <c r="I30" i="5" s="1"/>
  <c r="H5" i="3" s="1"/>
  <c r="B28" i="5"/>
  <c r="B30" i="5" s="1"/>
  <c r="G30" i="5" l="1"/>
  <c r="I46" i="5"/>
  <c r="I51" i="5" s="1"/>
  <c r="B34" i="5"/>
  <c r="B46" i="5" s="1"/>
  <c r="B32" i="5"/>
  <c r="B33" i="5" s="1"/>
  <c r="I53" i="5" l="1"/>
  <c r="I56" i="5"/>
  <c r="I54" i="5"/>
  <c r="I52" i="5"/>
  <c r="I57" i="5"/>
  <c r="I55" i="5"/>
  <c r="B49" i="5"/>
  <c r="B51" i="5" s="1"/>
  <c r="G46" i="5"/>
  <c r="G56" i="5" l="1"/>
  <c r="G54" i="5"/>
  <c r="G52" i="5"/>
  <c r="B52" i="5"/>
  <c r="B53" i="5" s="1"/>
  <c r="B54" i="5" s="1"/>
  <c r="B55" i="5" s="1"/>
  <c r="B56" i="5" s="1"/>
  <c r="B57" i="5" s="1"/>
  <c r="B60" i="5" s="1"/>
  <c r="B61" i="5" s="1"/>
  <c r="B62" i="5" s="1"/>
  <c r="B63" i="5" s="1"/>
  <c r="B64" i="5" s="1"/>
  <c r="B65" i="5" s="1"/>
  <c r="B66" i="5" s="1"/>
  <c r="G57" i="5"/>
  <c r="G55" i="5"/>
  <c r="G53" i="5"/>
  <c r="G51" i="5"/>
  <c r="C32" i="1" l="1"/>
  <c r="C30" i="1" l="1"/>
  <c r="C36" i="1"/>
  <c r="C35" i="1"/>
  <c r="H8" i="3"/>
  <c r="G7" i="1"/>
  <c r="G9" i="1"/>
  <c r="D8" i="1"/>
  <c r="C21" i="1"/>
  <c r="D18" i="1"/>
  <c r="D10" i="1"/>
  <c r="G14" i="1"/>
  <c r="D32" i="1" l="1"/>
  <c r="F32" i="1" s="1"/>
  <c r="C37" i="1"/>
  <c r="F18" i="1"/>
  <c r="G16" i="1"/>
  <c r="G11" i="1"/>
  <c r="D22" i="1"/>
  <c r="C23" i="1"/>
  <c r="G17" i="1"/>
  <c r="G15" i="1"/>
  <c r="C12" i="1" l="1"/>
  <c r="F8" i="1" l="1"/>
  <c r="C19" i="1" l="1"/>
  <c r="C25" i="1" s="1"/>
  <c r="C19" i="3"/>
  <c r="C18" i="3"/>
  <c r="C17" i="3"/>
  <c r="C16" i="3"/>
  <c r="C15" i="3"/>
  <c r="C14" i="3"/>
  <c r="B8" i="3"/>
  <c r="C6" i="3" s="1"/>
  <c r="H10" i="3" s="1"/>
  <c r="I72" i="5" l="1"/>
  <c r="J17" i="3"/>
  <c r="I17" i="3"/>
  <c r="H11" i="3"/>
  <c r="C7" i="3"/>
  <c r="H17" i="3" l="1"/>
  <c r="H14" i="3"/>
  <c r="D28" i="1"/>
  <c r="D29" i="1"/>
  <c r="D36" i="1" s="1"/>
  <c r="F36" i="1" s="1"/>
  <c r="H19" i="3"/>
  <c r="H15" i="3"/>
  <c r="H18" i="3"/>
  <c r="H16" i="3"/>
  <c r="D29" i="8" l="1"/>
  <c r="D30" i="8"/>
  <c r="D11" i="8"/>
  <c r="D18" i="8"/>
  <c r="D35" i="1"/>
  <c r="D30" i="1"/>
  <c r="D7" i="1"/>
  <c r="F29" i="1"/>
  <c r="D15" i="1"/>
  <c r="F28" i="1"/>
  <c r="D9" i="1"/>
  <c r="D17" i="1"/>
  <c r="D14" i="1"/>
  <c r="D16" i="1"/>
  <c r="D11" i="1"/>
  <c r="H21" i="3"/>
  <c r="D31" i="8" l="1"/>
  <c r="F35" i="1"/>
  <c r="F37" i="1" s="1"/>
  <c r="D37" i="1"/>
  <c r="F17" i="1"/>
  <c r="F7" i="1"/>
  <c r="F9" i="1"/>
  <c r="F30" i="1"/>
  <c r="F15" i="1"/>
  <c r="F16" i="1"/>
  <c r="F11" i="1"/>
  <c r="F14" i="1"/>
  <c r="D21" i="1"/>
  <c r="D23" i="1" s="1"/>
  <c r="F25" i="1" s="1"/>
  <c r="F10" i="1"/>
  <c r="E12" i="4"/>
  <c r="J12" i="4" s="1"/>
  <c r="F12" i="1" l="1"/>
  <c r="F21" i="1"/>
  <c r="F31" i="1"/>
  <c r="F19" i="1"/>
  <c r="D25" i="1"/>
  <c r="F22" i="1"/>
  <c r="E14" i="4"/>
  <c r="J14" i="4" s="1"/>
  <c r="E20" i="4"/>
  <c r="J20" i="4" s="1"/>
  <c r="F23" i="1" l="1"/>
  <c r="E11" i="4"/>
  <c r="J11" i="4" s="1"/>
  <c r="E16" i="4"/>
  <c r="J16" i="4" s="1"/>
  <c r="E15" i="4" l="1"/>
  <c r="J15" i="4" s="1"/>
  <c r="E18" i="4"/>
  <c r="J18" i="4" s="1"/>
  <c r="E19" i="4"/>
  <c r="J19" i="4" s="1"/>
  <c r="E17" i="4" l="1"/>
  <c r="J17" i="4" s="1"/>
  <c r="E13" i="4"/>
  <c r="J13" i="4" s="1"/>
  <c r="D19" i="1"/>
  <c r="D12" i="1"/>
  <c r="E21" i="4" l="1"/>
  <c r="E24" i="4" s="1"/>
  <c r="J21" i="4"/>
</calcChain>
</file>

<file path=xl/sharedStrings.xml><?xml version="1.0" encoding="utf-8"?>
<sst xmlns="http://schemas.openxmlformats.org/spreadsheetml/2006/main" count="626" uniqueCount="212">
  <si>
    <t>KPCo OATT Adjustment Workpaper and Supporting Evidence</t>
  </si>
  <si>
    <t>Test Year
12 Months-Ended May 2025</t>
  </si>
  <si>
    <t>Company Proposed
and Settlement</t>
  </si>
  <si>
    <t>Final Order Comission Authorized</t>
  </si>
  <si>
    <t>Rehearing Evidence #1</t>
  </si>
  <si>
    <t>Rehearing Evidence #2</t>
  </si>
  <si>
    <t>Rehearing Evidence #3</t>
  </si>
  <si>
    <t>Test Year</t>
  </si>
  <si>
    <r>
      <t>Annualize 2025 Rates</t>
    </r>
    <r>
      <rPr>
        <vertAlign val="superscript"/>
        <sz val="9.6"/>
        <color theme="1"/>
        <rFont val="Times New Roman"/>
        <family val="1"/>
      </rPr>
      <t>1</t>
    </r>
  </si>
  <si>
    <t>Annualize 2026 Rates using Previously Accepted Methodology</t>
  </si>
  <si>
    <t>Annualize 2026 Rates including True-Up and Other Credits</t>
  </si>
  <si>
    <t>Jan - April 2026 Actuals Annualized</t>
  </si>
  <si>
    <t>A</t>
  </si>
  <si>
    <t>B</t>
  </si>
  <si>
    <t>C</t>
  </si>
  <si>
    <t>D</t>
  </si>
  <si>
    <t>E</t>
  </si>
  <si>
    <t>F</t>
  </si>
  <si>
    <t>Firm and Non-Firm Point to Point Transmision Revenues</t>
  </si>
  <si>
    <t>RTO Formation Costs</t>
  </si>
  <si>
    <t>PJM Affiliated Trans NITS Cost</t>
  </si>
  <si>
    <t>PJM Affiliated Trans TO Cost</t>
  </si>
  <si>
    <t>Affil PJM Trans Enhancmnt Cost</t>
  </si>
  <si>
    <t>subtotal 456</t>
  </si>
  <si>
    <t>PJM Trans Enhancement Charge</t>
  </si>
  <si>
    <t>PJM NITS Expense - Affiliated</t>
  </si>
  <si>
    <t>Affil PJM Trans Enhncement Exp</t>
  </si>
  <si>
    <t>PJM NITS Expense - Non-Affiliated</t>
  </si>
  <si>
    <t>PJM TO Serv Expense - Affiliated</t>
  </si>
  <si>
    <t>sub total 565</t>
  </si>
  <si>
    <t xml:space="preserve"> </t>
  </si>
  <si>
    <t>Total LSE OATT Expense Retail Demand</t>
  </si>
  <si>
    <t>Total LSE OATT Expense Retail Energy</t>
  </si>
  <si>
    <t>Total LSE OATT Expense</t>
  </si>
  <si>
    <t>Total Expense</t>
  </si>
  <si>
    <t>Increase (Decrease) Compared to Test Year</t>
  </si>
  <si>
    <t>NITS</t>
  </si>
  <si>
    <t>Non-NITS</t>
  </si>
  <si>
    <t>1. 2025 actual expense was lower than the pro forma adjustment levels by an estimated $9.1 million due to prior year true-ups and other adjustment credits (tab "2025 Rates" cell L10)</t>
  </si>
  <si>
    <t>Kentucky Power Company</t>
  </si>
  <si>
    <t>Adjustment to Increase PJM LSE OATT expense to reflect 2025 filed rates</t>
  </si>
  <si>
    <t>Test Year Twelve Months Ended 5/31/2025</t>
  </si>
  <si>
    <t>LINE   NO.</t>
  </si>
  <si>
    <t>DESCRIPTION</t>
  </si>
  <si>
    <t>KPCO TOTAL COMPANY ADJUSTMENT TO 2023 RATES</t>
  </si>
  <si>
    <t>ALLOCATION METHOD</t>
  </si>
  <si>
    <t>ALLOCATION FACTOR</t>
  </si>
  <si>
    <t>KENTUCKY PSC RETAIL JURISDICTION ADJUSTMENT</t>
  </si>
  <si>
    <t>LSE OATT CHARGE ACCOUNTS</t>
  </si>
  <si>
    <t>Firm and Non-Firm Pt 2 Pt Transmision Revenues</t>
  </si>
  <si>
    <t>Specific</t>
  </si>
  <si>
    <t>Increase Other Operating Revenues</t>
  </si>
  <si>
    <t>Reduce Other Operating Revenues</t>
  </si>
  <si>
    <t>Increase Transmission Expense</t>
  </si>
  <si>
    <t>Net Increase in LSE OATT Expense</t>
  </si>
  <si>
    <t>Witness: Michael Spaeth</t>
  </si>
  <si>
    <t>KPCo OATT Adjustment Workpaper</t>
  </si>
  <si>
    <t>TME May 2025</t>
  </si>
  <si>
    <t>Annualize 2025 Rates</t>
  </si>
  <si>
    <t>Adjustment to 2025 Rates</t>
  </si>
  <si>
    <t>C = B - A</t>
  </si>
  <si>
    <t>decrease 456 revenue</t>
  </si>
  <si>
    <t>increase 565 expense</t>
  </si>
  <si>
    <t>2025 Adjusted Amounts</t>
  </si>
  <si>
    <t>Adjustments</t>
  </si>
  <si>
    <t>Transmission Enhancement</t>
  </si>
  <si>
    <t>Total PJM LSE OATT Expense</t>
  </si>
  <si>
    <t>Other Non-NITS</t>
  </si>
  <si>
    <t xml:space="preserve">Adjusting to 2026 </t>
  </si>
  <si>
    <t>Annualize 2026 Rates</t>
  </si>
  <si>
    <t>2026 Adjusted Amounts</t>
  </si>
  <si>
    <t>Adjusting to 2026 including true-up</t>
  </si>
  <si>
    <t xml:space="preserve">AEP LSE OATT PJM Incremental Cost Estimate </t>
  </si>
  <si>
    <t>Estimated impact of prior year true-ups and adjustments</t>
  </si>
  <si>
    <t>AEP Zone Allocation</t>
  </si>
  <si>
    <t>NITS Expense</t>
  </si>
  <si>
    <t>NSPL</t>
  </si>
  <si>
    <t>MW</t>
  </si>
  <si>
    <t>%</t>
  </si>
  <si>
    <t>OpCo ATRR</t>
  </si>
  <si>
    <t>2025 PTRR</t>
  </si>
  <si>
    <t>AEP (Including CRES)</t>
  </si>
  <si>
    <t>Transco ATRR</t>
  </si>
  <si>
    <t>Non-Affiliate</t>
  </si>
  <si>
    <t>Schedule 12 Expense (RTEP)</t>
  </si>
  <si>
    <t>Total Zonal ATRR</t>
  </si>
  <si>
    <t>AEP LSE Allocation</t>
  </si>
  <si>
    <t>Allocated to AEP %</t>
  </si>
  <si>
    <t>Allocated share to KPCo</t>
  </si>
  <si>
    <t>Allocated to AEP $</t>
  </si>
  <si>
    <t>Existing</t>
  </si>
  <si>
    <t>12CP</t>
  </si>
  <si>
    <t>Schedule 12</t>
  </si>
  <si>
    <t>AP - 12CP</t>
  </si>
  <si>
    <t>Allocated to APCo</t>
  </si>
  <si>
    <t>OP - 12CP</t>
  </si>
  <si>
    <t>Allocated to OPCo</t>
  </si>
  <si>
    <t>IM - 12CP</t>
  </si>
  <si>
    <t>Allocated to I&amp;M</t>
  </si>
  <si>
    <t>KP - 12CP</t>
  </si>
  <si>
    <t xml:space="preserve">Allocated to KPCo </t>
  </si>
  <si>
    <t>WPC - 12CP</t>
  </si>
  <si>
    <t xml:space="preserve">Allocated to WPCo </t>
  </si>
  <si>
    <t>KGP - 12CP</t>
  </si>
  <si>
    <t xml:space="preserve">Allocated to KGPCo </t>
  </si>
  <si>
    <t>Operating Company Sum</t>
  </si>
  <si>
    <t>Total Check</t>
  </si>
  <si>
    <t>Sum of Loads</t>
  </si>
  <si>
    <t>Excluding Prior Year Credits/Charges</t>
  </si>
  <si>
    <t>Including Prior year Credits/Charges</t>
  </si>
  <si>
    <t>2026 PTRR</t>
  </si>
  <si>
    <t>2025 actual</t>
  </si>
  <si>
    <t>AEP EAST Companies  Transmission Formula Rate Revenue Requirement</t>
  </si>
  <si>
    <t>Forecasted Costs Through December 31, 2025</t>
  </si>
  <si>
    <t xml:space="preserve">AEP Zone Transmission Service Revenue Requirement </t>
  </si>
  <si>
    <t>AEP Annual</t>
  </si>
  <si>
    <t>APCo Annual</t>
  </si>
  <si>
    <t>I&amp;M Annual</t>
  </si>
  <si>
    <t>KPCo Annual</t>
  </si>
  <si>
    <t>KNG Annual</t>
  </si>
  <si>
    <t>OPCo Annual</t>
  </si>
  <si>
    <t>WPCo Annual</t>
  </si>
  <si>
    <t>Line</t>
  </si>
  <si>
    <t>Revenue</t>
  </si>
  <si>
    <t>No.</t>
  </si>
  <si>
    <t>Requirement</t>
  </si>
  <si>
    <t>A.</t>
  </si>
  <si>
    <t>Network Service</t>
  </si>
  <si>
    <t>REVENUE REQUIREMENT (w/o incentives)</t>
  </si>
  <si>
    <t>(TCOS Ln 1 )</t>
  </si>
  <si>
    <t>LESS: REVENUE CREDITS</t>
  </si>
  <si>
    <t>(TCOS Ln 2 )</t>
  </si>
  <si>
    <t>CURRENT YEAR ZONE 1 AEP NETWORK SERVICE REVENUE REQUIREMENT</t>
  </si>
  <si>
    <t>(TCOS Ln 3 )</t>
  </si>
  <si>
    <t xml:space="preserve">LESS:  REVENUE REQUIREMENTS INCLUDED IN LINE 1 FOR: </t>
  </si>
  <si>
    <t xml:space="preserve">      RTEP UPGRADES (W/O INCENTIVES)</t>
  </si>
  <si>
    <t>(TCOS Ln 5)</t>
  </si>
  <si>
    <t xml:space="preserve">      OTHER ZONAL UPGRADES (W/O INCENTIVES)</t>
  </si>
  <si>
    <t xml:space="preserve">      SUBTOTAL</t>
  </si>
  <si>
    <t>EXISTING ZONAL ATRR (W/O INCENTIVES)</t>
  </si>
  <si>
    <t>INCENTIVE REVENUE REQUIREMENT FOR ZONAL PROJECTS</t>
  </si>
  <si>
    <t>EXISTING ZONAL ATRR (W/ INCENTIVES)</t>
  </si>
  <si>
    <t>Input from Prior Year</t>
  </si>
  <si>
    <t>PRIOR YEAR TRUE-UP (2023 including interest)</t>
  </si>
  <si>
    <t>(Worksheet Q)</t>
  </si>
  <si>
    <t>11a</t>
  </si>
  <si>
    <t>Facility Credits under PJM OATT Section 30.9</t>
  </si>
  <si>
    <t>(TCOS Ln 3)</t>
  </si>
  <si>
    <t>11b</t>
  </si>
  <si>
    <t>Adjusments from prior Annual Updates (2021 NOL Refund)</t>
  </si>
  <si>
    <t>11c</t>
  </si>
  <si>
    <t>Adjusments from prior Annual Updates (2019-2022 Rate Relief Refund)</t>
  </si>
  <si>
    <t>11d</t>
  </si>
  <si>
    <t>Adjusments from prior Annual Updates (project b2777 update)</t>
  </si>
  <si>
    <t>11e</t>
  </si>
  <si>
    <t>Adjusments from 2023 ATRR - customer challenge</t>
  </si>
  <si>
    <t xml:space="preserve">EXISTING ZONAL PTRR FOR PJM OATT </t>
  </si>
  <si>
    <t>B.</t>
  </si>
  <si>
    <t>Point-to-Point Service</t>
  </si>
  <si>
    <t>C.</t>
  </si>
  <si>
    <t>PJM Regional Service</t>
  </si>
  <si>
    <t>ADDITIONAL ATRR FOR FERC-APPROVED INCENTIVES ON RTEP</t>
  </si>
  <si>
    <t>TRUE-UP ADJUSTMENT INCLUDING INTEREST</t>
  </si>
  <si>
    <t>2021 NOL REFUND INCLUDING INTEREST</t>
  </si>
  <si>
    <t>RATE RELIEF REFUNDS 2019-2022 INCLUDING INTEREST</t>
  </si>
  <si>
    <t>PROJECT B2777 CORRECTION</t>
  </si>
  <si>
    <t>RTEP PTRR FOR PJM COLLECTION UNDER SCHEDULE 12</t>
  </si>
  <si>
    <t xml:space="preserve">   </t>
  </si>
  <si>
    <t xml:space="preserve">  </t>
  </si>
  <si>
    <t>AEPTCo subsidiaries in PJM - Transmission Formula Rate Revenue Requirement</t>
  </si>
  <si>
    <t>Revenue Requirements for Network and Point-to-Point Transmission Service</t>
  </si>
  <si>
    <t>AEPTCo subsidiaries in PJM</t>
  </si>
  <si>
    <t>APPALACHIAN TRANSMISSION COMPANY</t>
  </si>
  <si>
    <t>INDIANA MICHIGAN TRANSMISSION COMPANY</t>
  </si>
  <si>
    <t>KENTUCKY TRANSMISSION COMPANY</t>
  </si>
  <si>
    <t xml:space="preserve">OHIO TRANSMISSION COMPANY </t>
  </si>
  <si>
    <t>WEST VIRGINIA TRANSMISSION COMPANY</t>
  </si>
  <si>
    <t>Annual Revenue</t>
  </si>
  <si>
    <t>CURRENT YEAR AEPTCo ANNUAL TRANSMISSION REVENUE REQUIREMENT (PTRR)</t>
  </si>
  <si>
    <t xml:space="preserve">      RTEP UPGRADES ATRR (W/O INCENTIVES)</t>
  </si>
  <si>
    <t xml:space="preserve">      OTHER UPGRADES ATRR (W/O INCENTIVES)</t>
  </si>
  <si>
    <t>EXISTING AEPTCo ZONAL PTRR (W/O INCENTIVES)</t>
  </si>
  <si>
    <t>INCREMENTAL APPROVED INCENTIVE PTRR</t>
  </si>
  <si>
    <t>EXISTING AEPTCo ZONAL PTRR (W/ INCENTIVES)</t>
  </si>
  <si>
    <t>PRIOR YEAR TRUE-UP (2022 INCLUDING INTEREST)</t>
  </si>
  <si>
    <t>(Worksheet R)</t>
  </si>
  <si>
    <t>Adjusments from prior Annual Updates (2019-2022 Rate Refund)</t>
  </si>
  <si>
    <t xml:space="preserve">EXISTING AEPTCo PTRR FOR AEP ZONE OF PJM OATT </t>
  </si>
  <si>
    <t>Forecasted Costs Through December 31, 2026</t>
  </si>
  <si>
    <t>PRIOR YEAR TRUE-UP (2024 including interest)</t>
  </si>
  <si>
    <t>PRIOR YEAR TRUE-UP (2024 INCLUDING INTEREST)</t>
  </si>
  <si>
    <t>Sum of Amount</t>
  </si>
  <si>
    <t>Column Labels</t>
  </si>
  <si>
    <t>2026 Total</t>
  </si>
  <si>
    <t>Row Labels</t>
  </si>
  <si>
    <t>4561005</t>
  </si>
  <si>
    <t>4561035</t>
  </si>
  <si>
    <t>4561036</t>
  </si>
  <si>
    <t>4561060</t>
  </si>
  <si>
    <t>5650012</t>
  </si>
  <si>
    <t>5650015</t>
  </si>
  <si>
    <t>5650016</t>
  </si>
  <si>
    <t>5650019</t>
  </si>
  <si>
    <t>5650021</t>
  </si>
  <si>
    <t>Grand Total</t>
  </si>
  <si>
    <t>Annualized</t>
  </si>
  <si>
    <t>January</t>
  </si>
  <si>
    <t>February</t>
  </si>
  <si>
    <t>March</t>
  </si>
  <si>
    <t>April</t>
  </si>
  <si>
    <t>Sum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</si>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</sst>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&quot;$&quot;#,##0.00"/>
    <numFmt numFmtId="169" formatCode="&quot;$&quot;#,##0"/>
    <numFmt numFmtId="170" formatCode="[$-409]mmm\-yy;@"/>
    <numFmt numFmtId="171" formatCode="0.000%"/>
    <numFmt numFmtId="172" formatCode="&quot;$&quot;#,##0.00000"/>
    <numFmt numFmtId="173" formatCode="0.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2"/>
      <name val="Arial MT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b/>
      <u/>
      <sz val="12"/>
      <name val="Times New Roman"/>
      <family val="1"/>
    </font>
    <font>
      <sz val="12"/>
      <color indexed="12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  <font>
      <sz val="12"/>
      <color rgb="FF0000FF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u/>
      <sz val="12"/>
      <name val="Arial MT"/>
    </font>
    <font>
      <sz val="12"/>
      <color indexed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  <font>
      <sz val="16"/>
      <name val="Arial MT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u/>
      <sz val="16"/>
      <name val="Arial MT"/>
    </font>
    <font>
      <sz val="16"/>
      <color rgb="FF0000FF"/>
      <name val="Arial"/>
      <family val="2"/>
    </font>
    <font>
      <sz val="16"/>
      <color indexed="12"/>
      <name val="Arial"/>
      <family val="2"/>
    </font>
    <font>
      <b/>
      <sz val="16"/>
      <color indexed="8"/>
      <name val="Arial"/>
      <family val="2"/>
    </font>
    <font>
      <sz val="14"/>
      <name val="Arial"/>
      <family val="2"/>
    </font>
    <font>
      <sz val="14"/>
      <name val="Arial MT"/>
    </font>
    <font>
      <sz val="11"/>
      <color indexed="8"/>
      <name val="Calibri"/>
      <family val="2"/>
      <scheme val="minor"/>
    </font>
    <font>
      <vertAlign val="superscript"/>
      <sz val="9.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2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6" fillId="0" borderId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</cellStyleXfs>
  <cellXfs count="365">
    <xf numFmtId="0" fontId="0" fillId="0" borderId="0" xfId="0"/>
    <xf numFmtId="0" fontId="7" fillId="0" borderId="0" xfId="4" applyFont="1"/>
    <xf numFmtId="168" fontId="9" fillId="0" borderId="0" xfId="16" applyFont="1"/>
    <xf numFmtId="168" fontId="9" fillId="0" borderId="0" xfId="16" quotePrefix="1" applyFont="1"/>
    <xf numFmtId="0" fontId="9" fillId="0" borderId="0" xfId="16" applyNumberFormat="1" applyFont="1"/>
    <xf numFmtId="0" fontId="9" fillId="0" borderId="0" xfId="4" applyFont="1"/>
    <xf numFmtId="9" fontId="9" fillId="0" borderId="0" xfId="17" applyFont="1" applyAlignment="1"/>
    <xf numFmtId="165" fontId="9" fillId="0" borderId="0" xfId="5" applyNumberFormat="1" applyFont="1"/>
    <xf numFmtId="43" fontId="9" fillId="0" borderId="0" xfId="5" applyFont="1"/>
    <xf numFmtId="0" fontId="9" fillId="0" borderId="0" xfId="16" applyNumberFormat="1" applyFont="1" applyProtection="1">
      <protection locked="0"/>
    </xf>
    <xf numFmtId="169" fontId="9" fillId="0" borderId="0" xfId="16" applyNumberFormat="1" applyFont="1"/>
    <xf numFmtId="0" fontId="9" fillId="0" borderId="0" xfId="16" applyNumberFormat="1" applyFont="1" applyAlignment="1" applyProtection="1">
      <alignment horizontal="right"/>
      <protection locked="0"/>
    </xf>
    <xf numFmtId="168" fontId="9" fillId="0" borderId="0" xfId="16" applyFont="1" applyProtection="1">
      <protection locked="0"/>
    </xf>
    <xf numFmtId="0" fontId="9" fillId="0" borderId="0" xfId="4" applyFont="1" applyAlignment="1">
      <alignment horizontal="center"/>
    </xf>
    <xf numFmtId="0" fontId="9" fillId="0" borderId="0" xfId="16" applyNumberFormat="1" applyFont="1" applyAlignment="1" applyProtection="1">
      <alignment horizontal="center"/>
      <protection locked="0"/>
    </xf>
    <xf numFmtId="49" fontId="9" fillId="0" borderId="0" xfId="16" applyNumberFormat="1" applyFont="1" applyProtection="1">
      <protection locked="0"/>
    </xf>
    <xf numFmtId="49" fontId="9" fillId="0" borderId="0" xfId="16" applyNumberFormat="1" applyFont="1" applyAlignment="1" applyProtection="1">
      <alignment horizontal="center"/>
      <protection locked="0"/>
    </xf>
    <xf numFmtId="168" fontId="8" fillId="0" borderId="0" xfId="16" applyFont="1" applyAlignment="1">
      <alignment horizontal="center"/>
    </xf>
    <xf numFmtId="0" fontId="8" fillId="0" borderId="0" xfId="16" applyNumberFormat="1" applyFont="1" applyAlignment="1" applyProtection="1">
      <alignment horizontal="center"/>
      <protection locked="0"/>
    </xf>
    <xf numFmtId="0" fontId="9" fillId="0" borderId="2" xfId="16" applyNumberFormat="1" applyFont="1" applyBorder="1" applyAlignment="1" applyProtection="1">
      <alignment horizontal="center"/>
      <protection locked="0"/>
    </xf>
    <xf numFmtId="0" fontId="11" fillId="0" borderId="0" xfId="16" applyNumberFormat="1" applyFont="1" applyAlignment="1" applyProtection="1">
      <alignment horizontal="left"/>
      <protection locked="0"/>
    </xf>
    <xf numFmtId="169" fontId="9" fillId="0" borderId="0" xfId="5" applyNumberFormat="1" applyFont="1" applyAlignment="1"/>
    <xf numFmtId="169" fontId="9" fillId="0" borderId="0" xfId="16" applyNumberFormat="1" applyFont="1" applyProtection="1">
      <protection locked="0"/>
    </xf>
    <xf numFmtId="169" fontId="12" fillId="4" borderId="0" xfId="16" applyNumberFormat="1" applyFont="1" applyFill="1"/>
    <xf numFmtId="169" fontId="12" fillId="0" borderId="0" xfId="16" applyNumberFormat="1" applyFont="1" applyProtection="1">
      <protection locked="0"/>
    </xf>
    <xf numFmtId="169" fontId="12" fillId="5" borderId="0" xfId="16" applyNumberFormat="1" applyFont="1" applyFill="1"/>
    <xf numFmtId="169" fontId="12" fillId="0" borderId="0" xfId="16" applyNumberFormat="1" applyFont="1"/>
    <xf numFmtId="169" fontId="9" fillId="0" borderId="1" xfId="16" applyNumberFormat="1" applyFont="1" applyBorder="1"/>
    <xf numFmtId="1" fontId="9" fillId="0" borderId="0" xfId="16" applyNumberFormat="1" applyFont="1" applyAlignment="1" applyProtection="1">
      <alignment horizontal="center"/>
      <protection locked="0"/>
    </xf>
    <xf numFmtId="169" fontId="9" fillId="3" borderId="0" xfId="16" applyNumberFormat="1" applyFont="1" applyFill="1"/>
    <xf numFmtId="169" fontId="9" fillId="3" borderId="0" xfId="16" applyNumberFormat="1" applyFont="1" applyFill="1" applyProtection="1">
      <protection locked="0"/>
    </xf>
    <xf numFmtId="169" fontId="12" fillId="3" borderId="0" xfId="16" applyNumberFormat="1" applyFont="1" applyFill="1"/>
    <xf numFmtId="169" fontId="12" fillId="3" borderId="0" xfId="16" applyNumberFormat="1" applyFont="1" applyFill="1" applyProtection="1">
      <protection locked="0"/>
    </xf>
    <xf numFmtId="169" fontId="9" fillId="3" borderId="1" xfId="16" applyNumberFormat="1" applyFont="1" applyFill="1" applyBorder="1"/>
    <xf numFmtId="169" fontId="9" fillId="3" borderId="1" xfId="5" applyNumberFormat="1" applyFont="1" applyFill="1" applyBorder="1" applyAlignment="1" applyProtection="1">
      <protection locked="0"/>
    </xf>
    <xf numFmtId="169" fontId="9" fillId="3" borderId="0" xfId="5" applyNumberFormat="1" applyFont="1" applyFill="1" applyAlignment="1" applyProtection="1">
      <protection locked="0"/>
    </xf>
    <xf numFmtId="0" fontId="9" fillId="0" borderId="0" xfId="4" applyFont="1" applyAlignment="1">
      <alignment horizontal="right"/>
    </xf>
    <xf numFmtId="169" fontId="9" fillId="0" borderId="1" xfId="5" applyNumberFormat="1" applyFont="1" applyBorder="1" applyAlignment="1"/>
    <xf numFmtId="169" fontId="9" fillId="0" borderId="1" xfId="5" applyNumberFormat="1" applyFont="1" applyBorder="1" applyAlignment="1" applyProtection="1">
      <protection locked="0"/>
    </xf>
    <xf numFmtId="169" fontId="9" fillId="0" borderId="0" xfId="5" applyNumberFormat="1" applyFont="1" applyAlignment="1" applyProtection="1">
      <protection locked="0"/>
    </xf>
    <xf numFmtId="169" fontId="9" fillId="0" borderId="1" xfId="5" applyNumberFormat="1" applyFont="1" applyFill="1" applyBorder="1" applyAlignment="1" applyProtection="1">
      <protection locked="0"/>
    </xf>
    <xf numFmtId="169" fontId="9" fillId="0" borderId="0" xfId="5" applyNumberFormat="1" applyFont="1" applyFill="1" applyAlignment="1" applyProtection="1">
      <protection locked="0"/>
    </xf>
    <xf numFmtId="169" fontId="12" fillId="5" borderId="0" xfId="5" applyNumberFormat="1" applyFont="1" applyFill="1" applyAlignment="1" applyProtection="1">
      <protection locked="0"/>
    </xf>
    <xf numFmtId="169" fontId="12" fillId="0" borderId="0" xfId="5" applyNumberFormat="1" applyFont="1" applyAlignment="1" applyProtection="1">
      <protection locked="0"/>
    </xf>
    <xf numFmtId="168" fontId="9" fillId="0" borderId="0" xfId="16" applyFont="1" applyAlignment="1" applyProtection="1">
      <alignment horizontal="center"/>
      <protection locked="0"/>
    </xf>
    <xf numFmtId="169" fontId="9" fillId="0" borderId="0" xfId="5" applyNumberFormat="1" applyFont="1" applyFill="1" applyAlignment="1"/>
    <xf numFmtId="169" fontId="9" fillId="0" borderId="1" xfId="5" applyNumberFormat="1" applyFont="1" applyFill="1" applyBorder="1" applyAlignment="1"/>
    <xf numFmtId="169" fontId="12" fillId="5" borderId="1" xfId="5" applyNumberFormat="1" applyFont="1" applyFill="1" applyBorder="1" applyAlignment="1" applyProtection="1">
      <protection locked="0"/>
    </xf>
    <xf numFmtId="5" fontId="9" fillId="0" borderId="0" xfId="5" applyNumberFormat="1" applyFont="1" applyFill="1" applyAlignment="1"/>
    <xf numFmtId="168" fontId="9" fillId="0" borderId="0" xfId="16" applyFont="1" applyAlignment="1">
      <alignment horizontal="center"/>
    </xf>
    <xf numFmtId="5" fontId="9" fillId="0" borderId="0" xfId="5" applyNumberFormat="1" applyFont="1" applyAlignment="1" applyProtection="1">
      <protection locked="0"/>
    </xf>
    <xf numFmtId="0" fontId="8" fillId="0" borderId="5" xfId="4" applyFont="1" applyBorder="1"/>
    <xf numFmtId="0" fontId="9" fillId="0" borderId="6" xfId="16" applyNumberFormat="1" applyFont="1" applyBorder="1" applyProtection="1">
      <protection locked="0"/>
    </xf>
    <xf numFmtId="168" fontId="9" fillId="0" borderId="6" xfId="16" applyFont="1" applyBorder="1"/>
    <xf numFmtId="1" fontId="9" fillId="0" borderId="6" xfId="16" applyNumberFormat="1" applyFont="1" applyBorder="1" applyAlignment="1" applyProtection="1">
      <alignment horizontal="right"/>
      <protection locked="0"/>
    </xf>
    <xf numFmtId="168" fontId="9" fillId="0" borderId="6" xfId="16" applyFont="1" applyBorder="1" applyProtection="1">
      <protection locked="0"/>
    </xf>
    <xf numFmtId="169" fontId="8" fillId="0" borderId="7" xfId="16" applyNumberFormat="1" applyFont="1" applyBorder="1" applyProtection="1">
      <protection locked="0"/>
    </xf>
    <xf numFmtId="169" fontId="12" fillId="0" borderId="0" xfId="5" applyNumberFormat="1" applyFont="1" applyFill="1" applyBorder="1" applyAlignment="1" applyProtection="1">
      <protection locked="0"/>
    </xf>
    <xf numFmtId="166" fontId="12" fillId="3" borderId="0" xfId="5" applyNumberFormat="1" applyFont="1" applyFill="1" applyAlignment="1" applyProtection="1">
      <protection locked="0"/>
    </xf>
    <xf numFmtId="0" fontId="9" fillId="0" borderId="0" xfId="4" applyFont="1" applyAlignment="1">
      <alignment horizontal="left"/>
    </xf>
    <xf numFmtId="165" fontId="9" fillId="0" borderId="0" xfId="16" applyNumberFormat="1" applyFont="1"/>
    <xf numFmtId="165" fontId="9" fillId="0" borderId="0" xfId="4" applyNumberFormat="1" applyFont="1"/>
    <xf numFmtId="165" fontId="9" fillId="0" borderId="0" xfId="5" applyNumberFormat="1" applyFont="1" applyAlignment="1" applyProtection="1">
      <protection locked="0"/>
    </xf>
    <xf numFmtId="165" fontId="9" fillId="0" borderId="0" xfId="5" applyNumberFormat="1" applyFont="1" applyFill="1" applyAlignment="1" applyProtection="1">
      <protection locked="0"/>
    </xf>
    <xf numFmtId="165" fontId="9" fillId="0" borderId="0" xfId="5" applyNumberFormat="1" applyFont="1" applyFill="1"/>
    <xf numFmtId="168" fontId="13" fillId="0" borderId="5" xfId="16" applyFont="1" applyBorder="1"/>
    <xf numFmtId="0" fontId="9" fillId="0" borderId="6" xfId="4" applyFont="1" applyBorder="1"/>
    <xf numFmtId="164" fontId="8" fillId="0" borderId="7" xfId="6" applyNumberFormat="1" applyFont="1" applyBorder="1"/>
    <xf numFmtId="165" fontId="9" fillId="0" borderId="8" xfId="4" applyNumberFormat="1" applyFont="1" applyBorder="1"/>
    <xf numFmtId="172" fontId="9" fillId="0" borderId="0" xfId="4" applyNumberFormat="1" applyFont="1"/>
    <xf numFmtId="43" fontId="9" fillId="0" borderId="0" xfId="16" applyNumberFormat="1" applyFont="1"/>
    <xf numFmtId="42" fontId="9" fillId="0" borderId="0" xfId="4" applyNumberFormat="1" applyFont="1"/>
    <xf numFmtId="0" fontId="9" fillId="3" borderId="0" xfId="13" applyFont="1" applyFill="1"/>
    <xf numFmtId="0" fontId="14" fillId="3" borderId="0" xfId="0" applyFont="1" applyFill="1"/>
    <xf numFmtId="0" fontId="9" fillId="3" borderId="1" xfId="13" applyFont="1" applyFill="1" applyBorder="1" applyAlignment="1">
      <alignment horizontal="center" vertical="center" wrapText="1"/>
    </xf>
    <xf numFmtId="0" fontId="9" fillId="3" borderId="3" xfId="13" applyFont="1" applyFill="1" applyBorder="1" applyAlignment="1">
      <alignment horizontal="center" vertical="center" wrapText="1"/>
    </xf>
    <xf numFmtId="0" fontId="9" fillId="3" borderId="0" xfId="13" applyFont="1" applyFill="1" applyAlignment="1">
      <alignment horizontal="center"/>
    </xf>
    <xf numFmtId="165" fontId="9" fillId="3" borderId="0" xfId="14" applyNumberFormat="1" applyFont="1" applyFill="1" applyAlignment="1"/>
    <xf numFmtId="165" fontId="9" fillId="3" borderId="0" xfId="14" applyNumberFormat="1" applyFont="1" applyFill="1" applyAlignment="1">
      <alignment horizontal="center"/>
    </xf>
    <xf numFmtId="165" fontId="9" fillId="3" borderId="4" xfId="14" applyNumberFormat="1" applyFont="1" applyFill="1" applyBorder="1" applyAlignment="1">
      <alignment horizontal="center"/>
    </xf>
    <xf numFmtId="164" fontId="9" fillId="3" borderId="0" xfId="15" applyNumberFormat="1" applyFont="1" applyFill="1"/>
    <xf numFmtId="0" fontId="9" fillId="3" borderId="4" xfId="13" applyFont="1" applyFill="1" applyBorder="1"/>
    <xf numFmtId="0" fontId="15" fillId="3" borderId="0" xfId="13" applyFont="1" applyFill="1"/>
    <xf numFmtId="164" fontId="9" fillId="3" borderId="4" xfId="15" applyNumberFormat="1" applyFont="1" applyFill="1" applyBorder="1"/>
    <xf numFmtId="164" fontId="14" fillId="3" borderId="0" xfId="1" applyNumberFormat="1" applyFont="1" applyFill="1"/>
    <xf numFmtId="43" fontId="9" fillId="3" borderId="0" xfId="3" applyFont="1" applyFill="1" applyAlignment="1">
      <alignment horizontal="center"/>
    </xf>
    <xf numFmtId="164" fontId="9" fillId="8" borderId="4" xfId="15" applyNumberFormat="1" applyFont="1" applyFill="1" applyBorder="1"/>
    <xf numFmtId="0" fontId="8" fillId="3" borderId="0" xfId="13" applyFont="1" applyFill="1"/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/>
    <xf numFmtId="0" fontId="14" fillId="0" borderId="0" xfId="0" applyFont="1"/>
    <xf numFmtId="164" fontId="14" fillId="0" borderId="0" xfId="0" applyNumberFormat="1" applyFont="1"/>
    <xf numFmtId="44" fontId="14" fillId="3" borderId="0" xfId="0" applyNumberFormat="1" applyFont="1" applyFill="1"/>
    <xf numFmtId="168" fontId="8" fillId="0" borderId="0" xfId="16" applyFont="1" applyAlignment="1">
      <alignment horizontal="center" vertical="center" wrapText="1"/>
    </xf>
    <xf numFmtId="0" fontId="9" fillId="0" borderId="0" xfId="16" applyNumberFormat="1" applyFont="1" applyAlignment="1" applyProtection="1">
      <alignment vertical="center"/>
      <protection locked="0"/>
    </xf>
    <xf numFmtId="0" fontId="8" fillId="0" borderId="0" xfId="16" applyNumberFormat="1" applyFont="1" applyAlignment="1" applyProtection="1">
      <alignment horizontal="center" vertical="center" wrapText="1"/>
      <protection locked="0"/>
    </xf>
    <xf numFmtId="0" fontId="8" fillId="0" borderId="0" xfId="16" applyNumberFormat="1" applyFont="1" applyAlignment="1" applyProtection="1">
      <alignment horizontal="center" vertical="center"/>
      <protection locked="0"/>
    </xf>
    <xf numFmtId="168" fontId="9" fillId="0" borderId="0" xfId="16" applyFont="1" applyAlignment="1">
      <alignment vertical="center"/>
    </xf>
    <xf numFmtId="169" fontId="16" fillId="5" borderId="0" xfId="16" applyNumberFormat="1" applyFont="1" applyFill="1"/>
    <xf numFmtId="169" fontId="16" fillId="0" borderId="0" xfId="16" applyNumberFormat="1" applyFont="1" applyProtection="1">
      <protection locked="0"/>
    </xf>
    <xf numFmtId="169" fontId="16" fillId="0" borderId="0" xfId="16" applyNumberFormat="1" applyFont="1"/>
    <xf numFmtId="169" fontId="16" fillId="5" borderId="0" xfId="5" applyNumberFormat="1" applyFont="1" applyFill="1" applyAlignment="1" applyProtection="1">
      <protection locked="0"/>
    </xf>
    <xf numFmtId="169" fontId="16" fillId="0" borderId="0" xfId="5" applyNumberFormat="1" applyFont="1" applyAlignment="1" applyProtection="1">
      <protection locked="0"/>
    </xf>
    <xf numFmtId="169" fontId="9" fillId="5" borderId="0" xfId="5" applyNumberFormat="1" applyFont="1" applyFill="1" applyBorder="1" applyAlignment="1" applyProtection="1">
      <protection locked="0"/>
    </xf>
    <xf numFmtId="169" fontId="9" fillId="5" borderId="0" xfId="5" applyNumberFormat="1" applyFont="1" applyFill="1" applyAlignment="1" applyProtection="1">
      <protection locked="0"/>
    </xf>
    <xf numFmtId="169" fontId="9" fillId="0" borderId="0" xfId="5" applyNumberFormat="1" applyFont="1" applyBorder="1" applyAlignment="1" applyProtection="1">
      <protection locked="0"/>
    </xf>
    <xf numFmtId="1" fontId="9" fillId="0" borderId="6" xfId="16" applyNumberFormat="1" applyFont="1" applyBorder="1" applyAlignment="1" applyProtection="1">
      <alignment horizontal="center"/>
      <protection locked="0"/>
    </xf>
    <xf numFmtId="10" fontId="9" fillId="0" borderId="0" xfId="17" applyNumberFormat="1" applyFont="1" applyBorder="1" applyAlignment="1" applyProtection="1">
      <protection locked="0"/>
    </xf>
    <xf numFmtId="43" fontId="9" fillId="0" borderId="0" xfId="4" applyNumberFormat="1" applyFont="1"/>
    <xf numFmtId="170" fontId="9" fillId="0" borderId="0" xfId="4" applyNumberFormat="1" applyFont="1"/>
    <xf numFmtId="10" fontId="9" fillId="0" borderId="0" xfId="4" applyNumberFormat="1" applyFont="1"/>
    <xf numFmtId="0" fontId="8" fillId="0" borderId="0" xfId="4" applyFont="1" applyAlignment="1">
      <alignment horizontal="right"/>
    </xf>
    <xf numFmtId="171" fontId="8" fillId="0" borderId="0" xfId="4" applyNumberFormat="1" applyFont="1" applyAlignment="1">
      <alignment horizontal="center"/>
    </xf>
    <xf numFmtId="0" fontId="17" fillId="0" borderId="0" xfId="0" applyFont="1"/>
    <xf numFmtId="0" fontId="14" fillId="0" borderId="0" xfId="0" applyFont="1" applyAlignment="1">
      <alignment horizontal="center"/>
    </xf>
    <xf numFmtId="0" fontId="14" fillId="6" borderId="0" xfId="0" applyFont="1" applyFill="1"/>
    <xf numFmtId="164" fontId="14" fillId="6" borderId="0" xfId="1" applyNumberFormat="1" applyFont="1" applyFill="1" applyBorder="1"/>
    <xf numFmtId="165" fontId="14" fillId="0" borderId="0" xfId="3" applyNumberFormat="1" applyFont="1" applyFill="1" applyBorder="1"/>
    <xf numFmtId="165" fontId="14" fillId="6" borderId="0" xfId="3" applyNumberFormat="1" applyFont="1" applyFill="1"/>
    <xf numFmtId="10" fontId="14" fillId="0" borderId="0" xfId="2" applyNumberFormat="1" applyFont="1" applyFill="1"/>
    <xf numFmtId="165" fontId="14" fillId="0" borderId="0" xfId="3" applyNumberFormat="1" applyFont="1" applyFill="1"/>
    <xf numFmtId="164" fontId="14" fillId="6" borderId="1" xfId="1" applyNumberFormat="1" applyFont="1" applyFill="1" applyBorder="1"/>
    <xf numFmtId="0" fontId="14" fillId="6" borderId="0" xfId="0" applyFont="1" applyFill="1" applyAlignment="1">
      <alignment horizontal="left"/>
    </xf>
    <xf numFmtId="166" fontId="14" fillId="6" borderId="0" xfId="3" applyNumberFormat="1" applyFont="1" applyFill="1"/>
    <xf numFmtId="165" fontId="14" fillId="0" borderId="0" xfId="0" applyNumberFormat="1" applyFont="1"/>
    <xf numFmtId="10" fontId="14" fillId="0" borderId="0" xfId="0" applyNumberFormat="1" applyFont="1"/>
    <xf numFmtId="164" fontId="14" fillId="0" borderId="0" xfId="1" applyNumberFormat="1" applyFont="1" applyFill="1" applyBorder="1"/>
    <xf numFmtId="43" fontId="14" fillId="0" borderId="0" xfId="0" applyNumberFormat="1" applyFont="1"/>
    <xf numFmtId="10" fontId="14" fillId="0" borderId="0" xfId="0" applyNumberFormat="1" applyFont="1" applyAlignment="1">
      <alignment horizontal="center"/>
    </xf>
    <xf numFmtId="165" fontId="18" fillId="0" borderId="0" xfId="3" applyNumberFormat="1" applyFont="1" applyFill="1" applyBorder="1"/>
    <xf numFmtId="0" fontId="14" fillId="0" borderId="0" xfId="0" quotePrefix="1" applyFont="1"/>
    <xf numFmtId="0" fontId="8" fillId="7" borderId="9" xfId="0" applyFont="1" applyFill="1" applyBorder="1" applyAlignment="1">
      <alignment horizontal="left" textRotation="90" wrapText="1"/>
    </xf>
    <xf numFmtId="0" fontId="8" fillId="7" borderId="9" xfId="0" applyFont="1" applyFill="1" applyBorder="1" applyAlignment="1">
      <alignment textRotation="90" wrapText="1"/>
    </xf>
    <xf numFmtId="0" fontId="9" fillId="3" borderId="9" xfId="0" applyFont="1" applyFill="1" applyBorder="1"/>
    <xf numFmtId="173" fontId="14" fillId="3" borderId="9" xfId="0" applyNumberFormat="1" applyFont="1" applyFill="1" applyBorder="1"/>
    <xf numFmtId="0" fontId="14" fillId="3" borderId="10" xfId="0" applyFont="1" applyFill="1" applyBorder="1"/>
    <xf numFmtId="0" fontId="9" fillId="3" borderId="11" xfId="0" applyFont="1" applyFill="1" applyBorder="1"/>
    <xf numFmtId="173" fontId="14" fillId="3" borderId="12" xfId="0" applyNumberFormat="1" applyFont="1" applyFill="1" applyBorder="1"/>
    <xf numFmtId="171" fontId="14" fillId="3" borderId="13" xfId="0" applyNumberFormat="1" applyFont="1" applyFill="1" applyBorder="1"/>
    <xf numFmtId="173" fontId="14" fillId="3" borderId="11" xfId="0" applyNumberFormat="1" applyFont="1" applyFill="1" applyBorder="1"/>
    <xf numFmtId="0" fontId="9" fillId="3" borderId="14" xfId="0" applyFont="1" applyFill="1" applyBorder="1"/>
    <xf numFmtId="173" fontId="14" fillId="3" borderId="14" xfId="0" applyNumberFormat="1" applyFont="1" applyFill="1" applyBorder="1"/>
    <xf numFmtId="171" fontId="14" fillId="3" borderId="15" xfId="0" applyNumberFormat="1" applyFont="1" applyFill="1" applyBorder="1"/>
    <xf numFmtId="0" fontId="14" fillId="0" borderId="14" xfId="0" applyFont="1" applyBorder="1"/>
    <xf numFmtId="173" fontId="14" fillId="0" borderId="14" xfId="0" applyNumberFormat="1" applyFont="1" applyBorder="1"/>
    <xf numFmtId="171" fontId="14" fillId="0" borderId="14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164" fontId="14" fillId="0" borderId="0" xfId="1" quotePrefix="1" applyNumberFormat="1" applyFont="1" applyFill="1" applyAlignment="1">
      <alignment horizontal="center"/>
    </xf>
    <xf numFmtId="164" fontId="14" fillId="0" borderId="0" xfId="1" applyNumberFormat="1" applyFont="1" applyAlignment="1">
      <alignment horizontal="center"/>
    </xf>
    <xf numFmtId="0" fontId="14" fillId="0" borderId="0" xfId="0" quotePrefix="1" applyFont="1" applyAlignment="1">
      <alignment horizontal="center"/>
    </xf>
    <xf numFmtId="164" fontId="14" fillId="0" borderId="0" xfId="1" applyNumberFormat="1" applyFont="1" applyFill="1"/>
    <xf numFmtId="9" fontId="14" fillId="0" borderId="0" xfId="2" applyFont="1" applyFill="1"/>
    <xf numFmtId="167" fontId="14" fillId="0" borderId="0" xfId="2" applyNumberFormat="1" applyFont="1" applyFill="1"/>
    <xf numFmtId="164" fontId="14" fillId="0" borderId="1" xfId="1" applyNumberFormat="1" applyFont="1" applyFill="1" applyBorder="1"/>
    <xf numFmtId="164" fontId="14" fillId="0" borderId="1" xfId="0" applyNumberFormat="1" applyFont="1" applyBorder="1"/>
    <xf numFmtId="9" fontId="14" fillId="0" borderId="0" xfId="2" applyFont="1"/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44" fontId="9" fillId="0" borderId="0" xfId="1" applyFont="1" applyFill="1" applyBorder="1" applyAlignment="1">
      <alignment horizontal="center"/>
    </xf>
    <xf numFmtId="44" fontId="18" fillId="0" borderId="0" xfId="1" applyFont="1" applyBorder="1" applyAlignment="1">
      <alignment horizontal="center"/>
    </xf>
    <xf numFmtId="165" fontId="14" fillId="0" borderId="0" xfId="3" applyNumberFormat="1" applyFont="1" applyBorder="1"/>
    <xf numFmtId="165" fontId="14" fillId="0" borderId="1" xfId="3" applyNumberFormat="1" applyFont="1" applyBorder="1"/>
    <xf numFmtId="165" fontId="14" fillId="0" borderId="0" xfId="0" applyNumberFormat="1" applyFont="1" applyAlignment="1">
      <alignment horizontal="center"/>
    </xf>
    <xf numFmtId="44" fontId="14" fillId="0" borderId="0" xfId="0" applyNumberFormat="1" applyFont="1"/>
    <xf numFmtId="164" fontId="14" fillId="0" borderId="0" xfId="1" applyNumberFormat="1" applyFont="1" applyBorder="1"/>
    <xf numFmtId="44" fontId="18" fillId="0" borderId="0" xfId="1" applyFont="1" applyBorder="1"/>
    <xf numFmtId="167" fontId="14" fillId="0" borderId="0" xfId="2" applyNumberFormat="1" applyFont="1" applyBorder="1"/>
    <xf numFmtId="164" fontId="14" fillId="0" borderId="1" xfId="1" applyNumberFormat="1" applyFont="1" applyBorder="1"/>
    <xf numFmtId="164" fontId="14" fillId="0" borderId="0" xfId="1" applyNumberFormat="1" applyFont="1"/>
    <xf numFmtId="0" fontId="14" fillId="0" borderId="0" xfId="0" applyFont="1" applyAlignment="1">
      <alignment horizontal="center" wrapText="1"/>
    </xf>
    <xf numFmtId="3" fontId="14" fillId="9" borderId="0" xfId="0" applyNumberFormat="1" applyFont="1" applyFill="1"/>
    <xf numFmtId="164" fontId="14" fillId="9" borderId="0" xfId="0" applyNumberFormat="1" applyFont="1" applyFill="1"/>
    <xf numFmtId="0" fontId="2" fillId="0" borderId="0" xfId="4"/>
    <xf numFmtId="168" fontId="19" fillId="0" borderId="0" xfId="16" applyFont="1"/>
    <xf numFmtId="0" fontId="19" fillId="0" borderId="0" xfId="16" applyNumberFormat="1" applyFont="1" applyAlignment="1" applyProtection="1">
      <alignment horizontal="right"/>
      <protection locked="0"/>
    </xf>
    <xf numFmtId="0" fontId="19" fillId="0" borderId="0" xfId="16" applyNumberFormat="1" applyFont="1"/>
    <xf numFmtId="168" fontId="6" fillId="0" borderId="0" xfId="16" applyProtection="1">
      <protection locked="0"/>
    </xf>
    <xf numFmtId="168" fontId="19" fillId="0" borderId="0" xfId="16" applyFont="1" applyProtection="1">
      <protection locked="0"/>
    </xf>
    <xf numFmtId="0" fontId="19" fillId="0" borderId="0" xfId="4" applyFont="1" applyAlignment="1">
      <alignment horizontal="center"/>
    </xf>
    <xf numFmtId="0" fontId="6" fillId="0" borderId="0" xfId="16" applyNumberFormat="1" applyAlignment="1" applyProtection="1">
      <alignment horizontal="center"/>
      <protection locked="0"/>
    </xf>
    <xf numFmtId="0" fontId="19" fillId="0" borderId="0" xfId="16" applyNumberFormat="1" applyFont="1" applyAlignment="1" applyProtection="1">
      <alignment horizontal="center"/>
      <protection locked="0"/>
    </xf>
    <xf numFmtId="0" fontId="19" fillId="0" borderId="0" xfId="16" applyNumberFormat="1" applyFont="1" applyProtection="1">
      <protection locked="0"/>
    </xf>
    <xf numFmtId="49" fontId="19" fillId="0" borderId="0" xfId="16" applyNumberFormat="1" applyFont="1" applyProtection="1">
      <protection locked="0"/>
    </xf>
    <xf numFmtId="49" fontId="19" fillId="0" borderId="0" xfId="16" applyNumberFormat="1" applyFont="1" applyAlignment="1" applyProtection="1">
      <alignment horizontal="center"/>
      <protection locked="0"/>
    </xf>
    <xf numFmtId="168" fontId="21" fillId="0" borderId="0" xfId="16" applyFont="1" applyAlignment="1">
      <alignment horizontal="center"/>
    </xf>
    <xf numFmtId="0" fontId="21" fillId="0" borderId="0" xfId="16" applyNumberFormat="1" applyFont="1" applyAlignment="1" applyProtection="1">
      <alignment horizontal="center"/>
      <protection locked="0"/>
    </xf>
    <xf numFmtId="0" fontId="6" fillId="0" borderId="2" xfId="16" applyNumberFormat="1" applyBorder="1" applyAlignment="1" applyProtection="1">
      <alignment horizontal="center"/>
      <protection locked="0"/>
    </xf>
    <xf numFmtId="0" fontId="22" fillId="0" borderId="0" xfId="16" applyNumberFormat="1" applyFont="1" applyAlignment="1" applyProtection="1">
      <alignment horizontal="left"/>
      <protection locked="0"/>
    </xf>
    <xf numFmtId="0" fontId="19" fillId="0" borderId="0" xfId="4" applyFont="1"/>
    <xf numFmtId="169" fontId="19" fillId="0" borderId="0" xfId="18" applyNumberFormat="1" applyFont="1" applyAlignment="1"/>
    <xf numFmtId="169" fontId="19" fillId="0" borderId="0" xfId="16" applyNumberFormat="1" applyFont="1" applyProtection="1">
      <protection locked="0"/>
    </xf>
    <xf numFmtId="169" fontId="23" fillId="4" borderId="0" xfId="16" applyNumberFormat="1" applyFont="1" applyFill="1"/>
    <xf numFmtId="169" fontId="23" fillId="0" borderId="0" xfId="16" applyNumberFormat="1" applyFont="1" applyProtection="1">
      <protection locked="0"/>
    </xf>
    <xf numFmtId="169" fontId="23" fillId="5" borderId="0" xfId="16" applyNumberFormat="1" applyFont="1" applyFill="1"/>
    <xf numFmtId="169" fontId="23" fillId="0" borderId="0" xfId="16" applyNumberFormat="1" applyFont="1"/>
    <xf numFmtId="169" fontId="19" fillId="0" borderId="1" xfId="16" applyNumberFormat="1" applyFont="1" applyBorder="1"/>
    <xf numFmtId="169" fontId="19" fillId="0" borderId="0" xfId="16" applyNumberFormat="1" applyFont="1"/>
    <xf numFmtId="1" fontId="19" fillId="0" borderId="0" xfId="16" applyNumberFormat="1" applyFont="1" applyAlignment="1" applyProtection="1">
      <alignment horizontal="center"/>
      <protection locked="0"/>
    </xf>
    <xf numFmtId="169" fontId="19" fillId="3" borderId="0" xfId="16" applyNumberFormat="1" applyFont="1" applyFill="1"/>
    <xf numFmtId="169" fontId="19" fillId="3" borderId="0" xfId="16" applyNumberFormat="1" applyFont="1" applyFill="1" applyProtection="1">
      <protection locked="0"/>
    </xf>
    <xf numFmtId="169" fontId="23" fillId="3" borderId="0" xfId="16" applyNumberFormat="1" applyFont="1" applyFill="1"/>
    <xf numFmtId="169" fontId="23" fillId="3" borderId="0" xfId="16" applyNumberFormat="1" applyFont="1" applyFill="1" applyProtection="1">
      <protection locked="0"/>
    </xf>
    <xf numFmtId="169" fontId="19" fillId="3" borderId="1" xfId="16" applyNumberFormat="1" applyFont="1" applyFill="1" applyBorder="1"/>
    <xf numFmtId="169" fontId="19" fillId="3" borderId="1" xfId="18" applyNumberFormat="1" applyFont="1" applyFill="1" applyBorder="1" applyAlignment="1" applyProtection="1">
      <protection locked="0"/>
    </xf>
    <xf numFmtId="169" fontId="19" fillId="3" borderId="0" xfId="18" applyNumberFormat="1" applyFont="1" applyFill="1" applyAlignment="1" applyProtection="1">
      <protection locked="0"/>
    </xf>
    <xf numFmtId="0" fontId="19" fillId="0" borderId="0" xfId="4" applyFont="1" applyAlignment="1">
      <alignment horizontal="right"/>
    </xf>
    <xf numFmtId="169" fontId="19" fillId="0" borderId="1" xfId="18" applyNumberFormat="1" applyFont="1" applyBorder="1" applyAlignment="1"/>
    <xf numFmtId="169" fontId="19" fillId="0" borderId="1" xfId="18" applyNumberFormat="1" applyFont="1" applyBorder="1" applyAlignment="1" applyProtection="1">
      <protection locked="0"/>
    </xf>
    <xf numFmtId="169" fontId="19" fillId="0" borderId="0" xfId="18" applyNumberFormat="1" applyFont="1" applyAlignment="1" applyProtection="1">
      <protection locked="0"/>
    </xf>
    <xf numFmtId="169" fontId="19" fillId="0" borderId="1" xfId="18" applyNumberFormat="1" applyFont="1" applyFill="1" applyBorder="1" applyAlignment="1" applyProtection="1">
      <protection locked="0"/>
    </xf>
    <xf numFmtId="169" fontId="19" fillId="0" borderId="0" xfId="18" applyNumberFormat="1" applyFont="1" applyFill="1" applyAlignment="1" applyProtection="1">
      <protection locked="0"/>
    </xf>
    <xf numFmtId="169" fontId="23" fillId="5" borderId="0" xfId="18" applyNumberFormat="1" applyFont="1" applyFill="1" applyAlignment="1" applyProtection="1">
      <protection locked="0"/>
    </xf>
    <xf numFmtId="169" fontId="23" fillId="0" borderId="0" xfId="18" applyNumberFormat="1" applyFont="1" applyAlignment="1" applyProtection="1">
      <protection locked="0"/>
    </xf>
    <xf numFmtId="168" fontId="6" fillId="0" borderId="0" xfId="16"/>
    <xf numFmtId="168" fontId="19" fillId="0" borderId="0" xfId="16" applyFont="1" applyAlignment="1" applyProtection="1">
      <alignment horizontal="center"/>
      <protection locked="0"/>
    </xf>
    <xf numFmtId="169" fontId="19" fillId="0" borderId="0" xfId="18" applyNumberFormat="1" applyFont="1" applyFill="1" applyAlignment="1"/>
    <xf numFmtId="169" fontId="19" fillId="0" borderId="1" xfId="18" applyNumberFormat="1" applyFont="1" applyFill="1" applyBorder="1" applyAlignment="1"/>
    <xf numFmtId="169" fontId="23" fillId="5" borderId="1" xfId="18" applyNumberFormat="1" applyFont="1" applyFill="1" applyBorder="1" applyAlignment="1" applyProtection="1">
      <protection locked="0"/>
    </xf>
    <xf numFmtId="5" fontId="19" fillId="0" borderId="0" xfId="18" applyNumberFormat="1" applyFont="1" applyFill="1" applyAlignment="1"/>
    <xf numFmtId="168" fontId="6" fillId="0" borderId="0" xfId="16" applyAlignment="1">
      <alignment horizontal="center"/>
    </xf>
    <xf numFmtId="0" fontId="21" fillId="0" borderId="5" xfId="4" applyFont="1" applyBorder="1"/>
    <xf numFmtId="0" fontId="19" fillId="0" borderId="6" xfId="16" applyNumberFormat="1" applyFont="1" applyBorder="1" applyProtection="1">
      <protection locked="0"/>
    </xf>
    <xf numFmtId="168" fontId="19" fillId="0" borderId="6" xfId="16" applyFont="1" applyBorder="1"/>
    <xf numFmtId="1" fontId="19" fillId="0" borderId="6" xfId="16" applyNumberFormat="1" applyFont="1" applyBorder="1" applyAlignment="1" applyProtection="1">
      <alignment horizontal="right"/>
      <protection locked="0"/>
    </xf>
    <xf numFmtId="168" fontId="19" fillId="0" borderId="6" xfId="16" applyFont="1" applyBorder="1" applyProtection="1">
      <protection locked="0"/>
    </xf>
    <xf numFmtId="169" fontId="21" fillId="0" borderId="7" xfId="16" applyNumberFormat="1" applyFont="1" applyBorder="1" applyProtection="1">
      <protection locked="0"/>
    </xf>
    <xf numFmtId="170" fontId="2" fillId="0" borderId="0" xfId="4" applyNumberFormat="1"/>
    <xf numFmtId="10" fontId="2" fillId="0" borderId="0" xfId="4" applyNumberFormat="1"/>
    <xf numFmtId="169" fontId="23" fillId="0" borderId="0" xfId="18" applyNumberFormat="1" applyFont="1" applyFill="1" applyBorder="1" applyAlignment="1" applyProtection="1">
      <protection locked="0"/>
    </xf>
    <xf numFmtId="166" fontId="23" fillId="3" borderId="0" xfId="18" applyNumberFormat="1" applyFont="1" applyFill="1" applyAlignment="1" applyProtection="1">
      <protection locked="0"/>
    </xf>
    <xf numFmtId="0" fontId="6" fillId="0" borderId="0" xfId="4" applyFont="1"/>
    <xf numFmtId="0" fontId="2" fillId="0" borderId="0" xfId="4" applyAlignment="1">
      <alignment horizontal="center"/>
    </xf>
    <xf numFmtId="0" fontId="19" fillId="0" borderId="0" xfId="4" applyFont="1" applyAlignment="1">
      <alignment horizontal="left"/>
    </xf>
    <xf numFmtId="168" fontId="19" fillId="0" borderId="0" xfId="16" applyFont="1" applyAlignment="1">
      <alignment horizontal="center"/>
    </xf>
    <xf numFmtId="0" fontId="24" fillId="0" borderId="0" xfId="4" applyFont="1" applyAlignment="1">
      <alignment horizontal="right"/>
    </xf>
    <xf numFmtId="171" fontId="24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165" fontId="19" fillId="0" borderId="0" xfId="16" applyNumberFormat="1" applyFont="1"/>
    <xf numFmtId="165" fontId="19" fillId="0" borderId="0" xfId="4" applyNumberFormat="1" applyFont="1"/>
    <xf numFmtId="165" fontId="19" fillId="0" borderId="0" xfId="18" applyNumberFormat="1" applyFont="1" applyAlignment="1" applyProtection="1">
      <protection locked="0"/>
    </xf>
    <xf numFmtId="165" fontId="19" fillId="0" borderId="0" xfId="18" applyNumberFormat="1" applyFont="1" applyFill="1" applyAlignment="1" applyProtection="1">
      <protection locked="0"/>
    </xf>
    <xf numFmtId="165" fontId="19" fillId="0" borderId="0" xfId="18" applyNumberFormat="1" applyFont="1" applyFill="1"/>
    <xf numFmtId="168" fontId="25" fillId="0" borderId="5" xfId="16" applyFont="1" applyBorder="1"/>
    <xf numFmtId="0" fontId="19" fillId="0" borderId="6" xfId="4" applyFont="1" applyBorder="1"/>
    <xf numFmtId="164" fontId="21" fillId="0" borderId="7" xfId="19" applyNumberFormat="1" applyFont="1" applyBorder="1"/>
    <xf numFmtId="165" fontId="19" fillId="0" borderId="8" xfId="4" applyNumberFormat="1" applyFont="1" applyBorder="1"/>
    <xf numFmtId="172" fontId="19" fillId="0" borderId="0" xfId="4" applyNumberFormat="1" applyFont="1"/>
    <xf numFmtId="43" fontId="19" fillId="0" borderId="0" xfId="16" applyNumberFormat="1" applyFont="1"/>
    <xf numFmtId="42" fontId="19" fillId="0" borderId="0" xfId="4" applyNumberFormat="1" applyFont="1"/>
    <xf numFmtId="0" fontId="6" fillId="0" borderId="0" xfId="16" applyNumberFormat="1" applyProtection="1">
      <protection locked="0"/>
    </xf>
    <xf numFmtId="0" fontId="6" fillId="0" borderId="0" xfId="16" applyNumberFormat="1"/>
    <xf numFmtId="0" fontId="26" fillId="0" borderId="0" xfId="4" applyFont="1"/>
    <xf numFmtId="168" fontId="26" fillId="0" borderId="0" xfId="16" applyFont="1"/>
    <xf numFmtId="168" fontId="19" fillId="0" borderId="0" xfId="16" quotePrefix="1" applyFont="1"/>
    <xf numFmtId="168" fontId="27" fillId="0" borderId="0" xfId="16" applyFont="1" applyProtection="1">
      <protection locked="0"/>
    </xf>
    <xf numFmtId="168" fontId="26" fillId="0" borderId="0" xfId="16" applyFont="1" applyProtection="1">
      <protection locked="0"/>
    </xf>
    <xf numFmtId="0" fontId="26" fillId="0" borderId="0" xfId="4" applyFont="1" applyAlignment="1">
      <alignment horizontal="center"/>
    </xf>
    <xf numFmtId="0" fontId="27" fillId="0" borderId="0" xfId="16" applyNumberFormat="1" applyFont="1" applyAlignment="1" applyProtection="1">
      <alignment horizontal="center"/>
      <protection locked="0"/>
    </xf>
    <xf numFmtId="0" fontId="26" fillId="0" borderId="0" xfId="16" applyNumberFormat="1" applyFont="1" applyAlignment="1" applyProtection="1">
      <alignment horizontal="center"/>
      <protection locked="0"/>
    </xf>
    <xf numFmtId="0" fontId="26" fillId="0" borderId="0" xfId="16" applyNumberFormat="1" applyFont="1" applyProtection="1">
      <protection locked="0"/>
    </xf>
    <xf numFmtId="49" fontId="26" fillId="0" borderId="0" xfId="16" applyNumberFormat="1" applyFont="1" applyProtection="1">
      <protection locked="0"/>
    </xf>
    <xf numFmtId="49" fontId="26" fillId="0" borderId="0" xfId="16" applyNumberFormat="1" applyFont="1" applyAlignment="1" applyProtection="1">
      <alignment horizontal="center"/>
      <protection locked="0"/>
    </xf>
    <xf numFmtId="168" fontId="28" fillId="0" borderId="0" xfId="16" applyFont="1" applyAlignment="1">
      <alignment horizontal="center" vertical="center" wrapText="1"/>
    </xf>
    <xf numFmtId="0" fontId="26" fillId="0" borderId="0" xfId="16" applyNumberFormat="1" applyFont="1" applyAlignment="1" applyProtection="1">
      <alignment vertical="center"/>
      <protection locked="0"/>
    </xf>
    <xf numFmtId="0" fontId="28" fillId="0" borderId="0" xfId="16" applyNumberFormat="1" applyFont="1" applyAlignment="1" applyProtection="1">
      <alignment horizontal="center" vertical="center" wrapText="1"/>
      <protection locked="0"/>
    </xf>
    <xf numFmtId="0" fontId="28" fillId="0" borderId="0" xfId="16" applyNumberFormat="1" applyFont="1" applyAlignment="1" applyProtection="1">
      <alignment horizontal="center" vertical="center"/>
      <protection locked="0"/>
    </xf>
    <xf numFmtId="168" fontId="26" fillId="0" borderId="0" xfId="16" applyFont="1" applyAlignment="1">
      <alignment vertical="center"/>
    </xf>
    <xf numFmtId="168" fontId="28" fillId="0" borderId="0" xfId="16" applyFont="1" applyAlignment="1">
      <alignment horizontal="center"/>
    </xf>
    <xf numFmtId="0" fontId="28" fillId="0" borderId="0" xfId="16" applyNumberFormat="1" applyFont="1" applyAlignment="1" applyProtection="1">
      <alignment horizontal="center"/>
      <protection locked="0"/>
    </xf>
    <xf numFmtId="0" fontId="27" fillId="0" borderId="2" xfId="16" applyNumberFormat="1" applyFont="1" applyBorder="1" applyAlignment="1" applyProtection="1">
      <alignment horizontal="center"/>
      <protection locked="0"/>
    </xf>
    <xf numFmtId="0" fontId="30" fillId="0" borderId="0" xfId="16" applyNumberFormat="1" applyFont="1" applyAlignment="1" applyProtection="1">
      <alignment horizontal="left"/>
      <protection locked="0"/>
    </xf>
    <xf numFmtId="169" fontId="26" fillId="0" borderId="0" xfId="18" applyNumberFormat="1" applyFont="1" applyAlignment="1"/>
    <xf numFmtId="169" fontId="26" fillId="0" borderId="0" xfId="16" applyNumberFormat="1" applyFont="1" applyProtection="1">
      <protection locked="0"/>
    </xf>
    <xf numFmtId="169" fontId="31" fillId="5" borderId="0" xfId="16" applyNumberFormat="1" applyFont="1" applyFill="1"/>
    <xf numFmtId="169" fontId="31" fillId="0" borderId="0" xfId="16" applyNumberFormat="1" applyFont="1" applyProtection="1">
      <protection locked="0"/>
    </xf>
    <xf numFmtId="169" fontId="31" fillId="0" borderId="0" xfId="16" applyNumberFormat="1" applyFont="1"/>
    <xf numFmtId="9" fontId="19" fillId="0" borderId="0" xfId="20" applyFont="1" applyAlignment="1"/>
    <xf numFmtId="169" fontId="26" fillId="0" borderId="1" xfId="16" applyNumberFormat="1" applyFont="1" applyBorder="1"/>
    <xf numFmtId="169" fontId="26" fillId="0" borderId="0" xfId="16" applyNumberFormat="1" applyFont="1"/>
    <xf numFmtId="1" fontId="26" fillId="0" borderId="0" xfId="16" applyNumberFormat="1" applyFont="1" applyAlignment="1" applyProtection="1">
      <alignment horizontal="center"/>
      <protection locked="0"/>
    </xf>
    <xf numFmtId="169" fontId="31" fillId="5" borderId="0" xfId="18" applyNumberFormat="1" applyFont="1" applyFill="1" applyAlignment="1" applyProtection="1">
      <protection locked="0"/>
    </xf>
    <xf numFmtId="169" fontId="31" fillId="0" borderId="0" xfId="18" applyNumberFormat="1" applyFont="1" applyAlignment="1" applyProtection="1">
      <protection locked="0"/>
    </xf>
    <xf numFmtId="169" fontId="26" fillId="0" borderId="1" xfId="18" applyNumberFormat="1" applyFont="1" applyFill="1" applyBorder="1" applyAlignment="1" applyProtection="1">
      <protection locked="0"/>
    </xf>
    <xf numFmtId="169" fontId="26" fillId="0" borderId="0" xfId="18" applyNumberFormat="1" applyFont="1" applyAlignment="1" applyProtection="1">
      <protection locked="0"/>
    </xf>
    <xf numFmtId="169" fontId="26" fillId="0" borderId="1" xfId="18" applyNumberFormat="1" applyFont="1" applyBorder="1" applyAlignment="1" applyProtection="1">
      <protection locked="0"/>
    </xf>
    <xf numFmtId="0" fontId="26" fillId="0" borderId="0" xfId="4" applyFont="1" applyAlignment="1">
      <alignment horizontal="right"/>
    </xf>
    <xf numFmtId="169" fontId="26" fillId="0" borderId="0" xfId="18" applyNumberFormat="1" applyFont="1" applyFill="1" applyAlignment="1" applyProtection="1">
      <protection locked="0"/>
    </xf>
    <xf numFmtId="169" fontId="26" fillId="0" borderId="1" xfId="18" applyNumberFormat="1" applyFont="1" applyBorder="1" applyAlignment="1"/>
    <xf numFmtId="169" fontId="26" fillId="5" borderId="0" xfId="18" applyNumberFormat="1" applyFont="1" applyFill="1" applyBorder="1" applyAlignment="1" applyProtection="1">
      <protection locked="0"/>
    </xf>
    <xf numFmtId="169" fontId="26" fillId="5" borderId="0" xfId="18" applyNumberFormat="1" applyFont="1" applyFill="1" applyAlignment="1" applyProtection="1">
      <protection locked="0"/>
    </xf>
    <xf numFmtId="168" fontId="27" fillId="0" borderId="0" xfId="16" applyFont="1"/>
    <xf numFmtId="169" fontId="26" fillId="0" borderId="0" xfId="18" applyNumberFormat="1" applyFont="1" applyFill="1" applyAlignment="1"/>
    <xf numFmtId="169" fontId="26" fillId="0" borderId="0" xfId="18" applyNumberFormat="1" applyFont="1" applyBorder="1" applyAlignment="1" applyProtection="1">
      <protection locked="0"/>
    </xf>
    <xf numFmtId="0" fontId="28" fillId="0" borderId="5" xfId="4" applyFont="1" applyBorder="1"/>
    <xf numFmtId="0" fontId="26" fillId="0" borderId="6" xfId="16" applyNumberFormat="1" applyFont="1" applyBorder="1" applyProtection="1">
      <protection locked="0"/>
    </xf>
    <xf numFmtId="168" fontId="26" fillId="0" borderId="6" xfId="16" applyFont="1" applyBorder="1"/>
    <xf numFmtId="1" fontId="26" fillId="0" borderId="6" xfId="16" applyNumberFormat="1" applyFont="1" applyBorder="1" applyAlignment="1" applyProtection="1">
      <alignment horizontal="center"/>
      <protection locked="0"/>
    </xf>
    <xf numFmtId="168" fontId="26" fillId="0" borderId="6" xfId="16" applyFont="1" applyBorder="1" applyProtection="1">
      <protection locked="0"/>
    </xf>
    <xf numFmtId="169" fontId="28" fillId="0" borderId="7" xfId="16" applyNumberFormat="1" applyFont="1" applyBorder="1" applyProtection="1">
      <protection locked="0"/>
    </xf>
    <xf numFmtId="10" fontId="26" fillId="0" borderId="0" xfId="20" applyNumberFormat="1" applyFont="1" applyBorder="1" applyAlignment="1" applyProtection="1">
      <protection locked="0"/>
    </xf>
    <xf numFmtId="168" fontId="26" fillId="0" borderId="0" xfId="16" applyFont="1" applyAlignment="1" applyProtection="1">
      <alignment horizontal="center"/>
      <protection locked="0"/>
    </xf>
    <xf numFmtId="166" fontId="32" fillId="3" borderId="0" xfId="18" applyNumberFormat="1" applyFont="1" applyFill="1" applyAlignment="1" applyProtection="1">
      <protection locked="0"/>
    </xf>
    <xf numFmtId="0" fontId="26" fillId="0" borderId="0" xfId="4" applyFont="1" applyAlignment="1">
      <alignment horizontal="left"/>
    </xf>
    <xf numFmtId="43" fontId="26" fillId="0" borderId="0" xfId="4" applyNumberFormat="1" applyFont="1"/>
    <xf numFmtId="43" fontId="26" fillId="0" borderId="0" xfId="18" applyFont="1"/>
    <xf numFmtId="168" fontId="26" fillId="0" borderId="0" xfId="16" applyFont="1" applyAlignment="1">
      <alignment horizontal="center"/>
    </xf>
    <xf numFmtId="0" fontId="27" fillId="0" borderId="0" xfId="4" applyFont="1" applyAlignment="1">
      <alignment horizontal="center"/>
    </xf>
    <xf numFmtId="165" fontId="26" fillId="0" borderId="0" xfId="16" applyNumberFormat="1" applyFont="1"/>
    <xf numFmtId="165" fontId="26" fillId="0" borderId="0" xfId="4" applyNumberFormat="1" applyFont="1"/>
    <xf numFmtId="0" fontId="26" fillId="0" borderId="0" xfId="16" applyNumberFormat="1" applyFont="1"/>
    <xf numFmtId="165" fontId="26" fillId="0" borderId="0" xfId="18" applyNumberFormat="1" applyFont="1"/>
    <xf numFmtId="165" fontId="26" fillId="0" borderId="0" xfId="18" applyNumberFormat="1" applyFont="1" applyAlignment="1" applyProtection="1">
      <protection locked="0"/>
    </xf>
    <xf numFmtId="165" fontId="19" fillId="0" borderId="0" xfId="18" applyNumberFormat="1" applyFont="1"/>
    <xf numFmtId="43" fontId="19" fillId="0" borderId="0" xfId="18" applyFont="1"/>
    <xf numFmtId="168" fontId="33" fillId="0" borderId="5" xfId="16" applyFont="1" applyBorder="1"/>
    <xf numFmtId="0" fontId="26" fillId="0" borderId="6" xfId="4" applyFont="1" applyBorder="1"/>
    <xf numFmtId="164" fontId="28" fillId="0" borderId="7" xfId="19" applyNumberFormat="1" applyFont="1" applyBorder="1"/>
    <xf numFmtId="165" fontId="26" fillId="0" borderId="8" xfId="4" applyNumberFormat="1" applyFont="1" applyBorder="1"/>
    <xf numFmtId="0" fontId="27" fillId="0" borderId="0" xfId="4" applyFont="1"/>
    <xf numFmtId="168" fontId="34" fillId="0" borderId="0" xfId="16" applyFont="1"/>
    <xf numFmtId="0" fontId="35" fillId="0" borderId="0" xfId="4" applyFont="1"/>
    <xf numFmtId="0" fontId="34" fillId="0" borderId="0" xfId="4" applyFont="1"/>
    <xf numFmtId="172" fontId="34" fillId="0" borderId="0" xfId="4" applyNumberFormat="1" applyFont="1"/>
    <xf numFmtId="0" fontId="34" fillId="0" borderId="0" xfId="16" applyNumberFormat="1" applyFont="1"/>
    <xf numFmtId="171" fontId="14" fillId="6" borderId="13" xfId="0" applyNumberFormat="1" applyFont="1" applyFill="1" applyBorder="1"/>
    <xf numFmtId="0" fontId="9" fillId="6" borderId="11" xfId="0" applyFont="1" applyFill="1" applyBorder="1"/>
    <xf numFmtId="0" fontId="9" fillId="6" borderId="14" xfId="0" applyFont="1" applyFill="1" applyBorder="1"/>
    <xf numFmtId="0" fontId="14" fillId="6" borderId="14" xfId="0" applyFont="1" applyFill="1" applyBorder="1"/>
    <xf numFmtId="10" fontId="14" fillId="6" borderId="13" xfId="0" applyNumberFormat="1" applyFont="1" applyFill="1" applyBorder="1"/>
    <xf numFmtId="10" fontId="14" fillId="6" borderId="14" xfId="0" applyNumberFormat="1" applyFont="1" applyFill="1" applyBorder="1"/>
    <xf numFmtId="165" fontId="14" fillId="6" borderId="12" xfId="3" applyNumberFormat="1" applyFont="1" applyFill="1" applyBorder="1"/>
    <xf numFmtId="165" fontId="14" fillId="6" borderId="11" xfId="3" applyNumberFormat="1" applyFont="1" applyFill="1" applyBorder="1"/>
    <xf numFmtId="165" fontId="14" fillId="6" borderId="14" xfId="3" applyNumberFormat="1" applyFont="1" applyFill="1" applyBorder="1"/>
    <xf numFmtId="0" fontId="14" fillId="0" borderId="1" xfId="0" applyFont="1" applyBorder="1" applyAlignment="1">
      <alignment horizontal="center" wrapText="1"/>
    </xf>
    <xf numFmtId="164" fontId="14" fillId="0" borderId="0" xfId="0" quotePrefix="1" applyNumberFormat="1" applyFont="1"/>
    <xf numFmtId="0" fontId="36" fillId="0" borderId="0" xfId="21"/>
    <xf numFmtId="165" fontId="0" fillId="0" borderId="0" xfId="22" applyNumberFormat="1" applyFont="1"/>
    <xf numFmtId="165" fontId="36" fillId="0" borderId="0" xfId="21" applyNumberFormat="1"/>
    <xf numFmtId="43" fontId="36" fillId="0" borderId="0" xfId="21" applyNumberFormat="1"/>
    <xf numFmtId="0" fontId="36" fillId="0" borderId="0" xfId="21" applyAlignment="1">
      <alignment horizontal="center"/>
    </xf>
    <xf numFmtId="43" fontId="36" fillId="0" borderId="0" xfId="21" applyNumberFormat="1" applyAlignment="1">
      <alignment horizontal="center"/>
    </xf>
    <xf numFmtId="165" fontId="36" fillId="0" borderId="1" xfId="21" applyNumberFormat="1" applyBorder="1"/>
    <xf numFmtId="5" fontId="14" fillId="0" borderId="0" xfId="0" applyNumberFormat="1" applyFont="1"/>
    <xf numFmtId="5" fontId="14" fillId="0" borderId="1" xfId="0" applyNumberFormat="1" applyFont="1" applyBorder="1"/>
    <xf numFmtId="0" fontId="8" fillId="3" borderId="0" xfId="13" applyFont="1" applyFill="1" applyAlignment="1">
      <alignment horizontal="center"/>
    </xf>
    <xf numFmtId="0" fontId="8" fillId="0" borderId="0" xfId="13" applyFont="1" applyAlignment="1">
      <alignment horizontal="center" wrapText="1"/>
    </xf>
    <xf numFmtId="0" fontId="9" fillId="3" borderId="1" xfId="13" applyFont="1" applyFill="1" applyBorder="1" applyAlignment="1">
      <alignment horizontal="center" vertical="center" wrapText="1"/>
    </xf>
    <xf numFmtId="0" fontId="8" fillId="0" borderId="0" xfId="13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4" applyFont="1" applyAlignment="1">
      <alignment horizontal="center"/>
    </xf>
    <xf numFmtId="3" fontId="9" fillId="0" borderId="0" xfId="4" applyNumberFormat="1" applyFont="1" applyAlignment="1">
      <alignment horizontal="center"/>
    </xf>
    <xf numFmtId="49" fontId="10" fillId="0" borderId="0" xfId="16" applyNumberFormat="1" applyFont="1" applyAlignment="1" applyProtection="1">
      <alignment horizontal="center"/>
      <protection locked="0"/>
    </xf>
    <xf numFmtId="0" fontId="9" fillId="0" borderId="0" xfId="4" applyFont="1" applyAlignment="1">
      <alignment wrapText="1"/>
    </xf>
    <xf numFmtId="0" fontId="8" fillId="0" borderId="0" xfId="4" applyFont="1" applyAlignment="1">
      <alignment horizontal="center"/>
    </xf>
    <xf numFmtId="0" fontId="19" fillId="0" borderId="0" xfId="4" applyFont="1" applyAlignment="1">
      <alignment horizontal="center"/>
    </xf>
    <xf numFmtId="3" fontId="19" fillId="0" borderId="0" xfId="4" applyNumberFormat="1" applyFont="1" applyAlignment="1">
      <alignment horizontal="center"/>
    </xf>
    <xf numFmtId="49" fontId="20" fillId="0" borderId="0" xfId="16" applyNumberFormat="1" applyFont="1" applyAlignment="1" applyProtection="1">
      <alignment horizontal="center"/>
      <protection locked="0"/>
    </xf>
    <xf numFmtId="0" fontId="19" fillId="0" borderId="0" xfId="4" applyFont="1" applyAlignment="1">
      <alignment wrapText="1"/>
    </xf>
    <xf numFmtId="0" fontId="2" fillId="0" borderId="0" xfId="4" applyAlignment="1">
      <alignment wrapText="1"/>
    </xf>
    <xf numFmtId="0" fontId="28" fillId="0" borderId="0" xfId="4" applyFont="1" applyAlignment="1">
      <alignment horizontal="center"/>
    </xf>
    <xf numFmtId="3" fontId="26" fillId="0" borderId="0" xfId="4" applyNumberFormat="1" applyFont="1" applyAlignment="1">
      <alignment horizontal="center"/>
    </xf>
    <xf numFmtId="0" fontId="26" fillId="0" borderId="0" xfId="4" applyFont="1" applyAlignment="1">
      <alignment horizontal="center"/>
    </xf>
    <xf numFmtId="49" fontId="29" fillId="0" borderId="0" xfId="16" applyNumberFormat="1" applyFont="1" applyAlignment="1" applyProtection="1">
      <alignment horizontal="center"/>
      <protection locked="0"/>
    </xf>
    <xf numFmtId="0" fontId="26" fillId="0" borderId="0" xfId="4" applyFont="1" applyAlignment="1">
      <alignment wrapText="1"/>
    </xf>
  </cellXfs>
  <cellStyles count="23">
    <cellStyle name="Comma" xfId="3" builtinId="3"/>
    <cellStyle name="Comma 2" xfId="5" xr:uid="{00000000-0005-0000-0000-000001000000}"/>
    <cellStyle name="Comma 3" xfId="18" xr:uid="{6B3A4D62-10BD-432F-99D8-F481B5D0705B}"/>
    <cellStyle name="Comma 4" xfId="22" xr:uid="{71DB0A65-7565-423F-8866-5C33AADA9242}"/>
    <cellStyle name="Comma 6" xfId="14" xr:uid="{00000000-0005-0000-0000-000002000000}"/>
    <cellStyle name="Currency" xfId="1" builtinId="4"/>
    <cellStyle name="Currency 2" xfId="6" xr:uid="{00000000-0005-0000-0000-000004000000}"/>
    <cellStyle name="Currency 3" xfId="19" xr:uid="{4FB618B9-2D74-4FCF-AFD2-22BD853566D1}"/>
    <cellStyle name="Currency 36" xfId="15" xr:uid="{00000000-0005-0000-0000-000005000000}"/>
    <cellStyle name="Normal" xfId="0" builtinId="0"/>
    <cellStyle name="Normal 102" xfId="13" xr:uid="{00000000-0005-0000-0000-000007000000}"/>
    <cellStyle name="Normal 2" xfId="4" xr:uid="{00000000-0005-0000-0000-000008000000}"/>
    <cellStyle name="Normal 3" xfId="21" xr:uid="{3471802B-EE06-4C80-AD5A-B357A9AB8580}"/>
    <cellStyle name="Normal_FN1 Ratebase Draft SPP template (6-11-04) v2" xfId="16" xr:uid="{17FE3CEB-F98A-4DE9-BDB7-E1D4332D898A}"/>
    <cellStyle name="Percent" xfId="2" builtinId="5"/>
    <cellStyle name="Percent 2" xfId="17" xr:uid="{78AF5370-2765-4B43-8214-5D3B957DC8E5}"/>
    <cellStyle name="Percent 3" xfId="20" xr:uid="{3BAA4C30-78E3-4291-A405-5DA1B664483E}"/>
    <cellStyle name="PSChar" xfId="7" xr:uid="{00000000-0005-0000-0000-00000A000000}"/>
    <cellStyle name="PSDate" xfId="8" xr:uid="{00000000-0005-0000-0000-00000B000000}"/>
    <cellStyle name="PSDec" xfId="9" xr:uid="{00000000-0005-0000-0000-00000C000000}"/>
    <cellStyle name="PSHeading" xfId="10" xr:uid="{00000000-0005-0000-0000-00000D000000}"/>
    <cellStyle name="PSInt" xfId="11" xr:uid="{00000000-0005-0000-0000-00000E000000}"/>
    <cellStyle name="PSSpacer" xfId="1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pricing/Rate%20Cases/KPCo/Special%20Contracts%20&amp;%20ED/2023%20Commission%20Order%20Regarding%20EDR%20Incremental%20Capacity/Cost%20Analysis/Cyber%20Innovation%20EDR%20Capacity%20Cost%20Analysis%2012.12.23.xlsx" TargetMode="External"/><Relationship Id="rId1" Type="http://schemas.openxmlformats.org/officeDocument/2006/relationships/externalLinkPath" Target="/pricing/Rate%20Cases/KPCo/Special%20Contracts%20&amp;%20ED/2023%20Commission%20Order%20Regarding%20EDR%20Incremental%20Capacity/Cost%20Analysis/Cyber%20Innovation%20EDR%20Capacity%20Cost%20Analysis%2012.12.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epenergy-my.sharepoint.com/personal/s203707_corp_aepsc_com/Documents/Desktop/Transmission/2025%20Billing/2024%20NSPL%20for%202025%20Billing.xlsx" TargetMode="External"/><Relationship Id="rId1" Type="http://schemas.openxmlformats.org/officeDocument/2006/relationships/externalLinkPath" Target="https://aepenergy-my.sharepoint.com/personal/s203707_corp_aepsc_com/Documents/Desktop/Transmission/2025%20Billing/2024%20NSPL%20for%202025%20Bil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ills"/>
      <sheetName val="2022.23 plc"/>
      <sheetName val="2023.24 plc"/>
      <sheetName val="Input"/>
      <sheetName val="IGS Sub"/>
      <sheetName val="IGS Sec"/>
      <sheetName val="IGS Pri"/>
      <sheetName val="IGS Trans"/>
      <sheetName val="Rate Codes"/>
      <sheetName val="Rider Def"/>
      <sheetName val="Tax Table"/>
      <sheetName val="Rider Rate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TS"/>
    </sheetNames>
    <sheetDataSet>
      <sheetData sheetId="0">
        <row r="6">
          <cell r="I6">
            <v>19099.300000000003</v>
          </cell>
        </row>
        <row r="7">
          <cell r="I7">
            <v>3218.7000000000003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9B49-2B8C-427D-82CF-2FF321995A14}">
  <dimension ref="A1:O37"/>
  <sheetViews>
    <sheetView tabSelected="1" view="pageBreakPreview" zoomScale="80" zoomScaleNormal="100" zoomScaleSheetLayoutView="80" workbookViewId="0">
      <pane xSplit="2" ySplit="5" topLeftCell="C6" activePane="bottomRight" state="frozen"/>
      <selection pane="bottomRight" activeCell="D26" sqref="D26"/>
      <selection pane="bottomLeft" activeCell="A6" sqref="A6"/>
      <selection pane="topRight" activeCell="C1" sqref="C1"/>
    </sheetView>
  </sheetViews>
  <sheetFormatPr defaultColWidth="9.140625" defaultRowHeight="15.6"/>
  <cols>
    <col min="1" max="1" width="9.140625" style="90"/>
    <col min="2" max="2" width="48" style="90" bestFit="1" customWidth="1"/>
    <col min="3" max="3" width="19.7109375" style="90" customWidth="1"/>
    <col min="4" max="4" width="22.42578125" style="90" bestFit="1" customWidth="1"/>
    <col min="5" max="5" width="3.140625" style="90" customWidth="1"/>
    <col min="6" max="6" width="18.42578125" style="90" customWidth="1"/>
    <col min="7" max="7" width="3.42578125" style="90" customWidth="1"/>
    <col min="8" max="8" width="23.140625" style="90" customWidth="1"/>
    <col min="9" max="9" width="3.28515625" style="90" customWidth="1"/>
    <col min="10" max="10" width="21.5703125" style="90" customWidth="1"/>
    <col min="11" max="11" width="3.7109375" style="90" customWidth="1"/>
    <col min="12" max="12" width="22.140625" style="90" customWidth="1"/>
    <col min="13" max="13" width="4.42578125" style="90" customWidth="1"/>
    <col min="14" max="14" width="14.140625" style="90" customWidth="1"/>
    <col min="15" max="15" width="18" style="90" bestFit="1" customWidth="1"/>
    <col min="16" max="16384" width="9.140625" style="90"/>
  </cols>
  <sheetData>
    <row r="1" spans="1:15">
      <c r="A1" s="90" t="s">
        <v>0</v>
      </c>
    </row>
    <row r="3" spans="1:15" ht="46.5">
      <c r="C3" s="170" t="s">
        <v>1</v>
      </c>
      <c r="D3" s="170" t="s">
        <v>2</v>
      </c>
      <c r="F3" s="170" t="s">
        <v>3</v>
      </c>
      <c r="H3" s="170" t="s">
        <v>4</v>
      </c>
      <c r="J3" s="170" t="s">
        <v>5</v>
      </c>
      <c r="L3" s="170" t="s">
        <v>6</v>
      </c>
      <c r="M3" s="170"/>
    </row>
    <row r="4" spans="1:15" ht="83.1" customHeight="1">
      <c r="C4" s="146" t="s">
        <v>7</v>
      </c>
      <c r="D4" s="146" t="s">
        <v>8</v>
      </c>
      <c r="F4" s="146" t="str">
        <f>C4</f>
        <v>Test Year</v>
      </c>
      <c r="H4" s="334" t="s">
        <v>9</v>
      </c>
      <c r="J4" s="334" t="s">
        <v>10</v>
      </c>
      <c r="L4" s="334" t="s">
        <v>11</v>
      </c>
      <c r="M4" s="334"/>
    </row>
    <row r="5" spans="1:15">
      <c r="C5" s="148" t="s">
        <v>12</v>
      </c>
      <c r="D5" s="149" t="s">
        <v>13</v>
      </c>
      <c r="F5" s="114" t="s">
        <v>14</v>
      </c>
      <c r="H5" s="114" t="s">
        <v>15</v>
      </c>
      <c r="J5" s="114" t="s">
        <v>16</v>
      </c>
      <c r="L5" s="114" t="s">
        <v>17</v>
      </c>
      <c r="M5" s="114"/>
      <c r="N5" s="114"/>
    </row>
    <row r="6" spans="1:15">
      <c r="A6" s="90">
        <v>4561005</v>
      </c>
      <c r="B6" s="90" t="s">
        <v>18</v>
      </c>
      <c r="C6" s="151">
        <v>2197348.27</v>
      </c>
      <c r="D6" s="151">
        <f>'ADJ-Calc 2025'!D7</f>
        <v>2360400.6853929651</v>
      </c>
      <c r="F6" s="91">
        <f>C6</f>
        <v>2197348.27</v>
      </c>
      <c r="H6" s="91">
        <f>'ADJ-Calc 2026'!D7</f>
        <v>2431770.1539955609</v>
      </c>
      <c r="J6" s="91">
        <f>'ADJ-Calc 2026 V2'!D7</f>
        <v>2392224.4751059809</v>
      </c>
      <c r="L6" s="91">
        <f>'Actual Jan - April 2026'!H23</f>
        <v>3229946.0766666667</v>
      </c>
      <c r="M6" s="91"/>
      <c r="N6" s="91"/>
    </row>
    <row r="7" spans="1:15">
      <c r="A7" s="90">
        <v>4561002</v>
      </c>
      <c r="B7" s="90" t="s">
        <v>19</v>
      </c>
      <c r="C7" s="151">
        <v>0</v>
      </c>
      <c r="D7" s="151">
        <f>'ADJ-Calc 2025'!D8</f>
        <v>0</v>
      </c>
      <c r="F7" s="91">
        <f t="shared" ref="F7:F10" si="0">C7</f>
        <v>0</v>
      </c>
      <c r="H7" s="91">
        <f>'ADJ-Calc 2026'!D8</f>
        <v>0</v>
      </c>
      <c r="J7" s="91">
        <f>'ADJ-Calc 2026 V2'!D8</f>
        <v>0</v>
      </c>
      <c r="L7" s="91">
        <v>0</v>
      </c>
      <c r="M7" s="91"/>
      <c r="N7" s="91"/>
    </row>
    <row r="8" spans="1:15">
      <c r="A8" s="90">
        <v>4561035</v>
      </c>
      <c r="B8" s="90" t="s">
        <v>20</v>
      </c>
      <c r="C8" s="151">
        <v>-59422359.109999999</v>
      </c>
      <c r="D8" s="151">
        <f>'ADJ-Calc 2025'!D9</f>
        <v>-63831746.239712328</v>
      </c>
      <c r="F8" s="91">
        <f t="shared" si="0"/>
        <v>-59422359.109999999</v>
      </c>
      <c r="H8" s="91">
        <f>'ADJ-Calc 2026'!D9</f>
        <v>-65761773.559775405</v>
      </c>
      <c r="J8" s="91">
        <f>'ADJ-Calc 2026 V2'!D9</f>
        <v>-64692349.306775495</v>
      </c>
      <c r="L8" s="91">
        <f>'Actual Jan - April 2026'!H24</f>
        <v>-62373326.337916665</v>
      </c>
      <c r="M8" s="91"/>
      <c r="N8" s="91"/>
      <c r="O8" s="164"/>
    </row>
    <row r="9" spans="1:15">
      <c r="A9" s="90">
        <v>4561036</v>
      </c>
      <c r="B9" s="90" t="s">
        <v>21</v>
      </c>
      <c r="C9" s="151">
        <v>-137135.82</v>
      </c>
      <c r="D9" s="151">
        <f>'ADJ-Calc 2025'!D10</f>
        <v>-137135.82</v>
      </c>
      <c r="F9" s="91">
        <f t="shared" si="0"/>
        <v>-137135.82</v>
      </c>
      <c r="H9" s="91">
        <f>'ADJ-Calc 2026'!D10</f>
        <v>-137135.82</v>
      </c>
      <c r="J9" s="91">
        <f>'ADJ-Calc 2026 V2'!D10</f>
        <v>-137135.82</v>
      </c>
      <c r="L9" s="91">
        <f>'Actual Jan - April 2026'!H25</f>
        <v>-136909.73583333334</v>
      </c>
      <c r="M9" s="91"/>
      <c r="N9" s="91"/>
    </row>
    <row r="10" spans="1:15">
      <c r="A10" s="90">
        <v>4561060</v>
      </c>
      <c r="B10" s="90" t="s">
        <v>22</v>
      </c>
      <c r="C10" s="154">
        <v>-1198532.4100000001</v>
      </c>
      <c r="D10" s="154">
        <f>'ADJ-Calc 2025'!D11</f>
        <v>-1209049.9416206314</v>
      </c>
      <c r="F10" s="155">
        <f t="shared" si="0"/>
        <v>-1198532.4100000001</v>
      </c>
      <c r="H10" s="155">
        <f>'ADJ-Calc 2026'!D11</f>
        <v>-1142153.1721190009</v>
      </c>
      <c r="J10" s="155">
        <f>'ADJ-Calc 2026 V2'!D11</f>
        <v>-1142153.1721190009</v>
      </c>
      <c r="L10" s="155">
        <f>'Actual Jan - April 2026'!H26</f>
        <v>-1113182.3533333333</v>
      </c>
      <c r="M10" s="155"/>
      <c r="N10" s="91"/>
    </row>
    <row r="11" spans="1:15">
      <c r="A11" s="90" t="s">
        <v>23</v>
      </c>
      <c r="C11" s="151">
        <f>SUM(C6:C10)</f>
        <v>-58560679.069999993</v>
      </c>
      <c r="D11" s="151">
        <f>SUM(D6:D10)</f>
        <v>-62817531.315939993</v>
      </c>
      <c r="F11" s="151">
        <f>SUM(F6:F10)</f>
        <v>-58560679.069999993</v>
      </c>
      <c r="H11" s="151">
        <f>SUM(H6:H10)</f>
        <v>-64609292.397898845</v>
      </c>
      <c r="J11" s="151">
        <f>SUM(J6:J10)</f>
        <v>-63579413.823788516</v>
      </c>
      <c r="L11" s="151">
        <f>SUM(L6:L10)</f>
        <v>-60393472.35041666</v>
      </c>
      <c r="M11" s="151"/>
      <c r="N11" s="151"/>
    </row>
    <row r="12" spans="1:15">
      <c r="C12" s="151"/>
      <c r="D12" s="151"/>
    </row>
    <row r="13" spans="1:15">
      <c r="A13" s="90">
        <v>5650012</v>
      </c>
      <c r="B13" s="90" t="s">
        <v>24</v>
      </c>
      <c r="C13" s="151">
        <v>2056948.8399999999</v>
      </c>
      <c r="D13" s="126">
        <f>'ADJ-Calc 2025'!D14</f>
        <v>2074999.2692468157</v>
      </c>
      <c r="F13" s="91">
        <f>C13</f>
        <v>2056948.8399999999</v>
      </c>
      <c r="H13" s="91">
        <f>'ADJ-Calc 2026'!D14</f>
        <v>1960189.4974976096</v>
      </c>
      <c r="J13" s="91">
        <f>'ADJ-Calc 2026 V2'!D14</f>
        <v>1960189.4974976096</v>
      </c>
      <c r="L13" s="91">
        <f>'Actual Jan - April 2026'!H29</f>
        <v>2829430.6337500005</v>
      </c>
      <c r="M13" s="91"/>
      <c r="N13" s="91"/>
    </row>
    <row r="14" spans="1:15">
      <c r="A14" s="90">
        <v>5650016</v>
      </c>
      <c r="B14" s="90" t="s">
        <v>25</v>
      </c>
      <c r="C14" s="151">
        <v>75312915.230000004</v>
      </c>
      <c r="D14" s="126">
        <f>'ADJ-Calc 2025'!D15</f>
        <v>80901447.965658292</v>
      </c>
      <c r="F14" s="91">
        <f t="shared" ref="F14:F17" si="1">C14</f>
        <v>75312915.230000004</v>
      </c>
      <c r="H14" s="91">
        <f>'ADJ-Calc 2026'!D15</f>
        <v>83347597.632628232</v>
      </c>
      <c r="J14" s="91">
        <f>'ADJ-Calc 2026 V2'!D15</f>
        <v>81992191.026135311</v>
      </c>
      <c r="L14" s="91">
        <f>'Actual Jan - April 2026'!H31</f>
        <v>82076284.514583334</v>
      </c>
      <c r="M14" s="91"/>
      <c r="N14" s="91"/>
      <c r="O14" s="164"/>
    </row>
    <row r="15" spans="1:15">
      <c r="A15" s="90">
        <v>5650019</v>
      </c>
      <c r="B15" s="90" t="s">
        <v>26</v>
      </c>
      <c r="C15" s="126">
        <v>5201997.07</v>
      </c>
      <c r="D15" s="126">
        <f>'ADJ-Calc 2025'!D16</f>
        <v>5247646.3726118142</v>
      </c>
      <c r="F15" s="91">
        <f t="shared" si="1"/>
        <v>5201997.07</v>
      </c>
      <c r="H15" s="91">
        <f>'ADJ-Calc 2026'!D16</f>
        <v>4957293.9415582838</v>
      </c>
      <c r="J15" s="91">
        <f>'ADJ-Calc 2026 V2'!D16</f>
        <v>4957293.9415582838</v>
      </c>
      <c r="L15" s="91">
        <f>'Actual Jan - April 2026'!H32</f>
        <v>4457455.8591666659</v>
      </c>
      <c r="M15" s="91"/>
      <c r="N15" s="91"/>
    </row>
    <row r="16" spans="1:15">
      <c r="A16" s="90">
        <v>5650021</v>
      </c>
      <c r="B16" s="90" t="s">
        <v>27</v>
      </c>
      <c r="C16" s="126">
        <v>980913.68</v>
      </c>
      <c r="D16" s="126">
        <f>'ADJ-Calc 2025'!D17</f>
        <v>1053701.5702946968</v>
      </c>
      <c r="F16" s="91">
        <f t="shared" si="1"/>
        <v>980913.68</v>
      </c>
      <c r="H16" s="91">
        <f>'ADJ-Calc 2026'!D17</f>
        <v>1085561.4666262954</v>
      </c>
      <c r="J16" s="91">
        <f>'ADJ-Calc 2026 V2'!D17</f>
        <v>1067907.962201311</v>
      </c>
      <c r="L16" s="91">
        <f>'Actual Jan - April 2026'!H33</f>
        <v>1074890.2337500001</v>
      </c>
      <c r="M16" s="91"/>
      <c r="N16" s="91"/>
    </row>
    <row r="17" spans="1:14">
      <c r="A17" s="90">
        <v>5650015</v>
      </c>
      <c r="B17" s="90" t="s">
        <v>28</v>
      </c>
      <c r="C17" s="154">
        <v>167304.17000000001</v>
      </c>
      <c r="D17" s="154">
        <f>'ADJ-Calc 2025'!D18</f>
        <v>167304.17000000001</v>
      </c>
      <c r="F17" s="155">
        <f t="shared" si="1"/>
        <v>167304.17000000001</v>
      </c>
      <c r="H17" s="155">
        <f>'ADJ-Calc 2026'!D18</f>
        <v>167304.17000000001</v>
      </c>
      <c r="J17" s="155">
        <f>'ADJ-Calc 2026 V2'!D18</f>
        <v>167304.17000000001</v>
      </c>
      <c r="L17" s="155">
        <f>'Actual Jan - April 2026'!H30</f>
        <v>178312.32458333333</v>
      </c>
      <c r="M17" s="155"/>
      <c r="N17" s="91"/>
    </row>
    <row r="18" spans="1:14">
      <c r="A18" s="90" t="s">
        <v>29</v>
      </c>
      <c r="C18" s="151">
        <f>SUM(C13:C17)</f>
        <v>83720078.990000024</v>
      </c>
      <c r="D18" s="151">
        <f>SUM(D13:D17)</f>
        <v>89445099.347811624</v>
      </c>
      <c r="F18" s="151">
        <f>SUM(F13:F17)</f>
        <v>83720078.990000024</v>
      </c>
      <c r="H18" s="151">
        <f>SUM(H13:H17)</f>
        <v>91517946.708310425</v>
      </c>
      <c r="J18" s="151">
        <f>SUM(J13:J17)</f>
        <v>90144886.597392514</v>
      </c>
      <c r="L18" s="151">
        <f>SUM(L13:L17)</f>
        <v>90616373.565833345</v>
      </c>
      <c r="M18" s="91"/>
    </row>
    <row r="19" spans="1:14">
      <c r="A19" s="90" t="s">
        <v>30</v>
      </c>
      <c r="C19" s="151"/>
      <c r="D19" s="151"/>
      <c r="F19" s="151"/>
      <c r="H19" s="151"/>
      <c r="J19" s="151"/>
    </row>
    <row r="20" spans="1:14">
      <c r="A20" s="90" t="s">
        <v>31</v>
      </c>
      <c r="C20" s="151">
        <f>SUM(C13:C16)-SUM(C6:C8,C10)</f>
        <v>141976318.07000002</v>
      </c>
      <c r="D20" s="151">
        <f>SUM(D13:D16)-SUM(D6:D8,D10)</f>
        <v>151958190.67375162</v>
      </c>
      <c r="F20" s="151">
        <f>SUM(F13:F16)-SUM(F6:F8,F10)</f>
        <v>141976318.07000002</v>
      </c>
      <c r="H20" s="151">
        <f>SUM(H13:H16)-SUM(H6:H8,H10)</f>
        <v>155822799.11620927</v>
      </c>
      <c r="J20" s="151">
        <f>SUM(J13:J16)-SUM(J6:J8,J10)</f>
        <v>153419860.43118101</v>
      </c>
      <c r="L20" s="151">
        <f>SUM(L13:L16)-SUM(L6:L8,L10)</f>
        <v>150694623.85583335</v>
      </c>
      <c r="M20" s="151"/>
    </row>
    <row r="21" spans="1:14">
      <c r="A21" s="90" t="s">
        <v>32</v>
      </c>
      <c r="C21" s="154">
        <f>-C9+C17</f>
        <v>304439.99</v>
      </c>
      <c r="D21" s="154">
        <f>-D9+D17</f>
        <v>304439.99</v>
      </c>
      <c r="F21" s="154">
        <f>-F9+F17</f>
        <v>304439.99</v>
      </c>
      <c r="H21" s="154">
        <f>-H9+H17</f>
        <v>304439.99</v>
      </c>
      <c r="J21" s="154">
        <f>-J9+J17</f>
        <v>304439.99</v>
      </c>
      <c r="L21" s="154">
        <f>-L9+L17</f>
        <v>315222.06041666667</v>
      </c>
      <c r="M21" s="154"/>
    </row>
    <row r="22" spans="1:14">
      <c r="A22" s="90" t="s">
        <v>33</v>
      </c>
      <c r="C22" s="151">
        <f>C21+C20</f>
        <v>142280758.06000003</v>
      </c>
      <c r="D22" s="151">
        <f>D21+D20</f>
        <v>152262630.66375163</v>
      </c>
      <c r="F22" s="151">
        <f>F21+F20</f>
        <v>142280758.06000003</v>
      </c>
      <c r="H22" s="151">
        <f>H21+H20</f>
        <v>156127239.10620928</v>
      </c>
      <c r="J22" s="151">
        <f>J21+J20</f>
        <v>153724300.42118102</v>
      </c>
      <c r="L22" s="151">
        <f>L21+L20</f>
        <v>151009845.91625002</v>
      </c>
      <c r="M22" s="151"/>
    </row>
    <row r="24" spans="1:14">
      <c r="B24" s="90" t="s">
        <v>34</v>
      </c>
      <c r="C24" s="171">
        <f>-C11+C18</f>
        <v>142280758.06</v>
      </c>
      <c r="D24" s="172">
        <f>D22</f>
        <v>152262630.66375163</v>
      </c>
      <c r="F24" s="171">
        <f>-F11+F18</f>
        <v>142280758.06</v>
      </c>
      <c r="H24" s="171">
        <f>-H11+H18</f>
        <v>156127239.10620928</v>
      </c>
      <c r="J24" s="171">
        <f>-J11+J18</f>
        <v>153724300.42118102</v>
      </c>
      <c r="L24" s="171">
        <f>-L11+L18</f>
        <v>151009845.91624999</v>
      </c>
      <c r="M24" s="171"/>
    </row>
    <row r="25" spans="1:14">
      <c r="D25" s="91"/>
    </row>
    <row r="26" spans="1:14">
      <c r="B26" s="90" t="s">
        <v>35</v>
      </c>
      <c r="D26" s="91">
        <f>D24-$C$24</f>
        <v>9981872.6037516296</v>
      </c>
      <c r="F26" s="91">
        <f>F24-$C$24</f>
        <v>0</v>
      </c>
      <c r="H26" s="91">
        <f>H24-$C$24</f>
        <v>13846481.046209276</v>
      </c>
      <c r="J26" s="91">
        <f>J24-$C$24</f>
        <v>11443542.361181021</v>
      </c>
      <c r="L26" s="91">
        <f>L24-$C$24</f>
        <v>8729087.8562499881</v>
      </c>
    </row>
    <row r="27" spans="1:14">
      <c r="D27" s="91"/>
      <c r="F27" s="91"/>
      <c r="H27" s="91"/>
      <c r="J27" s="91"/>
      <c r="L27" s="91"/>
    </row>
    <row r="28" spans="1:14">
      <c r="D28" s="91"/>
    </row>
    <row r="29" spans="1:14">
      <c r="B29" s="91" t="s">
        <v>36</v>
      </c>
      <c r="C29" s="91">
        <f>-C6-C8+C14+C16</f>
        <v>133518839.75</v>
      </c>
      <c r="D29" s="91">
        <f>-D6-D8+D14+D16</f>
        <v>143426495.09027237</v>
      </c>
      <c r="F29" s="91">
        <f>-F6-F8+F14+F16</f>
        <v>133518839.75</v>
      </c>
      <c r="H29" s="91">
        <f>-H6-H8+H14+H16</f>
        <v>147763162.50503436</v>
      </c>
      <c r="J29" s="91">
        <f>-J6-J8+J14+J16</f>
        <v>145360223.82000613</v>
      </c>
      <c r="L29" s="91">
        <f>-L6-L8+L14+L16</f>
        <v>142294555.00958332</v>
      </c>
      <c r="M29" s="91"/>
    </row>
    <row r="30" spans="1:14">
      <c r="B30" s="335" t="s">
        <v>37</v>
      </c>
      <c r="C30" s="155">
        <f>-C10+C15+C13</f>
        <v>8457478.3200000003</v>
      </c>
      <c r="D30" s="155">
        <f>-D10+D15+D13</f>
        <v>8531695.583479261</v>
      </c>
      <c r="F30" s="155">
        <f>-F10+F15+F13</f>
        <v>8457478.3200000003</v>
      </c>
      <c r="H30" s="155">
        <f>-H10+H15+H13</f>
        <v>8059636.6111748945</v>
      </c>
      <c r="J30" s="155">
        <f>-J10+J15+J13</f>
        <v>8059636.6111748945</v>
      </c>
      <c r="L30" s="155">
        <f>-L10+L15+L13</f>
        <v>8400068.8462499995</v>
      </c>
      <c r="M30" s="91"/>
    </row>
    <row r="31" spans="1:14">
      <c r="C31" s="91">
        <f>SUM(C29:C30)</f>
        <v>141976318.06999999</v>
      </c>
      <c r="D31" s="91">
        <f>SUM(D29:D30)</f>
        <v>151958190.67375162</v>
      </c>
      <c r="F31" s="91">
        <f>SUM(F29:F30)</f>
        <v>141976318.06999999</v>
      </c>
      <c r="H31" s="91">
        <f>SUM(H29:H30)</f>
        <v>155822799.11620924</v>
      </c>
      <c r="J31" s="91">
        <f>SUM(J29:J30)</f>
        <v>153419860.43118101</v>
      </c>
      <c r="L31" s="91">
        <f>SUM(L29:L30)</f>
        <v>150694623.85583332</v>
      </c>
      <c r="M31" s="91"/>
    </row>
    <row r="32" spans="1:14">
      <c r="D32" s="91"/>
    </row>
    <row r="33" spans="2:12">
      <c r="C33" s="91"/>
      <c r="D33" s="91"/>
      <c r="E33" s="91"/>
      <c r="F33" s="91"/>
      <c r="G33" s="91"/>
      <c r="H33" s="91"/>
      <c r="I33" s="91"/>
      <c r="J33" s="91"/>
      <c r="K33" s="91"/>
      <c r="L33" s="91"/>
    </row>
    <row r="34" spans="2:12">
      <c r="B34" s="90" t="s">
        <v>38</v>
      </c>
      <c r="D34" s="91"/>
    </row>
    <row r="35" spans="2:12">
      <c r="D35" s="91"/>
    </row>
    <row r="36" spans="2:12">
      <c r="C36" s="158"/>
      <c r="D36" s="159"/>
    </row>
    <row r="37" spans="2:12">
      <c r="C37" s="91"/>
      <c r="D37" s="161"/>
    </row>
  </sheetData>
  <pageMargins left="0.7" right="0.7" top="0.75" bottom="0.75" header="0.3" footer="0.3"/>
  <pageSetup scale="3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4E68-62A7-4FFF-9761-22BB9D918D23}">
  <sheetPr>
    <tabColor indexed="42"/>
    <pageSetUpPr fitToPage="1"/>
  </sheetPr>
  <dimension ref="A1:AB126"/>
  <sheetViews>
    <sheetView zoomScale="85" zoomScaleNormal="85" workbookViewId="0">
      <selection activeCell="I22" sqref="I22"/>
    </sheetView>
  </sheetViews>
  <sheetFormatPr defaultColWidth="11.42578125" defaultRowHeight="15.6"/>
  <cols>
    <col min="1" max="1" width="4.140625" style="174" customWidth="1"/>
    <col min="2" max="2" width="5.85546875" style="214" bestFit="1" customWidth="1"/>
    <col min="3" max="3" width="2" style="174" customWidth="1"/>
    <col min="4" max="4" width="62.5703125" style="174" customWidth="1"/>
    <col min="5" max="5" width="18.85546875" style="174" customWidth="1"/>
    <col min="6" max="6" width="8.5703125" style="174" customWidth="1"/>
    <col min="7" max="7" width="18.5703125" style="174" customWidth="1"/>
    <col min="8" max="8" width="4.42578125" style="174" customWidth="1"/>
    <col min="9" max="9" width="20.85546875" style="174" customWidth="1"/>
    <col min="10" max="10" width="3.140625" style="174" customWidth="1"/>
    <col min="11" max="11" width="18.42578125" style="174" bestFit="1" customWidth="1"/>
    <col min="12" max="12" width="3.42578125" style="174" customWidth="1"/>
    <col min="13" max="13" width="16" style="174" bestFit="1" customWidth="1"/>
    <col min="14" max="14" width="3.85546875" style="174" customWidth="1"/>
    <col min="15" max="15" width="16.5703125" style="174" bestFit="1" customWidth="1"/>
    <col min="16" max="16" width="4.85546875" style="174" customWidth="1"/>
    <col min="17" max="17" width="15.85546875" style="174" bestFit="1" customWidth="1"/>
    <col min="18" max="18" width="4.140625" style="174" customWidth="1"/>
    <col min="19" max="19" width="16.5703125" style="174" bestFit="1" customWidth="1"/>
    <col min="20" max="20" width="3.42578125" style="174" customWidth="1"/>
    <col min="21" max="21" width="16.5703125" style="174" customWidth="1"/>
    <col min="22" max="23" width="11.42578125" style="174" customWidth="1"/>
    <col min="24" max="24" width="14.7109375" style="174" bestFit="1" customWidth="1"/>
    <col min="25" max="25" width="9.85546875" style="174" bestFit="1" customWidth="1"/>
    <col min="26" max="26" width="10.5703125" style="174" bestFit="1" customWidth="1"/>
    <col min="27" max="27" width="10.85546875" style="174" bestFit="1" customWidth="1"/>
    <col min="28" max="28" width="10.42578125" style="174" bestFit="1" customWidth="1"/>
    <col min="29" max="16384" width="11.42578125" style="174"/>
  </cols>
  <sheetData>
    <row r="1" spans="1:22">
      <c r="A1" s="173"/>
      <c r="B1" s="173"/>
      <c r="C1" s="173"/>
      <c r="D1" s="173"/>
      <c r="E1" s="173"/>
      <c r="F1" s="173"/>
      <c r="G1" s="173"/>
      <c r="H1" s="173"/>
      <c r="J1" s="173"/>
      <c r="K1" s="173"/>
      <c r="L1" s="173"/>
      <c r="U1" s="175"/>
      <c r="V1" s="176">
        <v>2026</v>
      </c>
    </row>
    <row r="2" spans="1:22">
      <c r="B2" s="177"/>
      <c r="C2" s="178"/>
      <c r="D2" s="178"/>
      <c r="E2" s="178"/>
      <c r="F2" s="178"/>
      <c r="G2" s="178"/>
      <c r="H2" s="178"/>
      <c r="J2" s="178"/>
      <c r="K2" s="178"/>
      <c r="L2" s="178"/>
      <c r="U2" s="175"/>
    </row>
    <row r="3" spans="1:22">
      <c r="A3" s="355" t="s">
        <v>112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</row>
    <row r="4" spans="1:22">
      <c r="A4" s="356" t="s">
        <v>188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</row>
    <row r="5" spans="1:22">
      <c r="A5" s="355" t="str">
        <f>"For rates effective January 1, 2026"</f>
        <v>For rates effective January 1, 2026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</row>
    <row r="6" spans="1:22">
      <c r="A6" s="179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</row>
    <row r="7" spans="1:22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</row>
    <row r="8" spans="1:22">
      <c r="A8" s="357" t="s">
        <v>114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</row>
    <row r="9" spans="1:22">
      <c r="B9" s="180"/>
      <c r="C9" s="181"/>
      <c r="D9" s="182"/>
      <c r="E9" s="182"/>
      <c r="G9" s="183"/>
      <c r="H9" s="182"/>
      <c r="J9" s="182"/>
      <c r="K9" s="182"/>
      <c r="L9" s="182"/>
    </row>
    <row r="10" spans="1:22">
      <c r="B10" s="180"/>
      <c r="C10" s="181"/>
      <c r="D10" s="182"/>
      <c r="E10" s="182"/>
      <c r="F10" s="184"/>
      <c r="G10" s="183"/>
      <c r="H10" s="182"/>
      <c r="I10" s="185" t="s">
        <v>115</v>
      </c>
      <c r="J10" s="182"/>
      <c r="K10" s="186" t="s">
        <v>116</v>
      </c>
      <c r="L10" s="186"/>
      <c r="M10" s="186" t="s">
        <v>117</v>
      </c>
      <c r="O10" s="186" t="s">
        <v>118</v>
      </c>
      <c r="Q10" s="186" t="s">
        <v>119</v>
      </c>
      <c r="S10" s="186" t="s">
        <v>120</v>
      </c>
      <c r="U10" s="186" t="s">
        <v>121</v>
      </c>
    </row>
    <row r="11" spans="1:22">
      <c r="B11" s="180" t="s">
        <v>122</v>
      </c>
      <c r="C11" s="181"/>
      <c r="D11" s="182"/>
      <c r="E11" s="182"/>
      <c r="F11" s="182"/>
      <c r="G11" s="183"/>
      <c r="H11" s="182"/>
      <c r="I11" s="185" t="s">
        <v>123</v>
      </c>
      <c r="J11" s="182"/>
      <c r="K11" s="186" t="s">
        <v>123</v>
      </c>
      <c r="L11" s="186"/>
      <c r="M11" s="186" t="s">
        <v>123</v>
      </c>
      <c r="O11" s="186" t="s">
        <v>123</v>
      </c>
      <c r="Q11" s="186" t="s">
        <v>123</v>
      </c>
      <c r="S11" s="186" t="s">
        <v>123</v>
      </c>
      <c r="U11" s="186" t="s">
        <v>123</v>
      </c>
    </row>
    <row r="12" spans="1:22" ht="15.95" thickBot="1">
      <c r="B12" s="187" t="s">
        <v>124</v>
      </c>
      <c r="C12" s="181"/>
      <c r="D12" s="182"/>
      <c r="E12" s="181"/>
      <c r="F12" s="182"/>
      <c r="G12" s="182"/>
      <c r="H12" s="182"/>
      <c r="I12" s="185" t="s">
        <v>125</v>
      </c>
      <c r="J12" s="182"/>
      <c r="K12" s="185" t="s">
        <v>125</v>
      </c>
      <c r="L12" s="186"/>
      <c r="M12" s="185" t="s">
        <v>125</v>
      </c>
      <c r="O12" s="185" t="s">
        <v>125</v>
      </c>
      <c r="Q12" s="185" t="s">
        <v>125</v>
      </c>
      <c r="S12" s="185" t="s">
        <v>125</v>
      </c>
      <c r="U12" s="185" t="s">
        <v>125</v>
      </c>
    </row>
    <row r="13" spans="1:22">
      <c r="B13" s="180"/>
      <c r="C13" s="181"/>
      <c r="D13" s="182"/>
      <c r="E13" s="181"/>
      <c r="F13" s="182"/>
      <c r="G13" s="182"/>
      <c r="H13" s="182"/>
      <c r="J13" s="182"/>
      <c r="L13" s="182"/>
    </row>
    <row r="14" spans="1:22">
      <c r="A14" s="185" t="s">
        <v>126</v>
      </c>
      <c r="B14" s="188" t="s">
        <v>127</v>
      </c>
      <c r="C14" s="181"/>
      <c r="D14" s="182"/>
      <c r="E14" s="181"/>
      <c r="F14" s="182"/>
      <c r="G14" s="182"/>
      <c r="H14" s="182"/>
      <c r="J14" s="182"/>
      <c r="L14" s="182"/>
    </row>
    <row r="15" spans="1:22">
      <c r="A15" s="185"/>
      <c r="B15" s="180">
        <v>1</v>
      </c>
      <c r="C15" s="181"/>
      <c r="D15" s="189" t="s">
        <v>128</v>
      </c>
      <c r="E15" s="181"/>
      <c r="F15" s="182"/>
      <c r="G15" s="181" t="s">
        <v>129</v>
      </c>
      <c r="H15" s="182"/>
      <c r="I15" s="190">
        <f>SUM(K15,M15,O15,Q15,S15,U15)</f>
        <v>1535288972.9963596</v>
      </c>
      <c r="J15" s="191"/>
      <c r="K15" s="192">
        <v>609212609.686764</v>
      </c>
      <c r="L15" s="193"/>
      <c r="M15" s="194">
        <v>232938740.07114187</v>
      </c>
      <c r="N15" s="195"/>
      <c r="O15" s="194">
        <v>110170223.65867685</v>
      </c>
      <c r="P15" s="195"/>
      <c r="Q15" s="194">
        <v>8378331.7103264406</v>
      </c>
      <c r="R15" s="195"/>
      <c r="S15" s="194">
        <v>547160917.46299708</v>
      </c>
      <c r="T15" s="195"/>
      <c r="U15" s="194">
        <v>27428150.406453256</v>
      </c>
    </row>
    <row r="16" spans="1:22">
      <c r="A16" s="185"/>
      <c r="B16" s="180"/>
      <c r="C16" s="181"/>
      <c r="D16" s="189"/>
      <c r="E16" s="181"/>
      <c r="F16" s="182"/>
      <c r="G16" s="182"/>
      <c r="H16" s="182"/>
      <c r="I16" s="190"/>
      <c r="J16" s="191"/>
      <c r="K16" s="195"/>
      <c r="L16" s="193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>
      <c r="A17" s="185"/>
      <c r="B17" s="180">
        <f>+B15+1</f>
        <v>2</v>
      </c>
      <c r="C17" s="181"/>
      <c r="D17" s="182" t="s">
        <v>130</v>
      </c>
      <c r="E17" s="181"/>
      <c r="F17" s="182"/>
      <c r="G17" s="181" t="s">
        <v>131</v>
      </c>
      <c r="H17" s="182"/>
      <c r="I17" s="190">
        <f>SUM(K17,M17,O17,Q17,S17,U17)</f>
        <v>50627621.606624246</v>
      </c>
      <c r="J17" s="191"/>
      <c r="K17" s="194">
        <v>10684801.97192103</v>
      </c>
      <c r="L17" s="193"/>
      <c r="M17" s="194">
        <v>10126295.743442459</v>
      </c>
      <c r="N17" s="195"/>
      <c r="O17" s="194">
        <v>678359.45705922309</v>
      </c>
      <c r="P17" s="195"/>
      <c r="Q17" s="194">
        <v>602542.55980325746</v>
      </c>
      <c r="R17" s="195"/>
      <c r="S17" s="194">
        <v>25137491.740738835</v>
      </c>
      <c r="T17" s="195"/>
      <c r="U17" s="194">
        <v>3398130.1336594387</v>
      </c>
    </row>
    <row r="18" spans="1:21">
      <c r="A18" s="185"/>
      <c r="B18" s="188"/>
      <c r="C18" s="181"/>
      <c r="D18" s="182"/>
      <c r="E18" s="181"/>
      <c r="F18" s="182"/>
      <c r="G18" s="182"/>
      <c r="H18" s="182"/>
      <c r="I18" s="196"/>
      <c r="J18" s="191"/>
      <c r="K18" s="196"/>
      <c r="L18" s="191"/>
      <c r="M18" s="196"/>
      <c r="N18" s="197"/>
      <c r="O18" s="196"/>
      <c r="P18" s="197"/>
      <c r="Q18" s="196"/>
      <c r="R18" s="197"/>
      <c r="S18" s="196"/>
      <c r="T18" s="197"/>
      <c r="U18" s="196"/>
    </row>
    <row r="19" spans="1:21" ht="33.75" customHeight="1">
      <c r="B19" s="180">
        <f>+B17+1</f>
        <v>3</v>
      </c>
      <c r="C19" s="181"/>
      <c r="D19" s="358" t="s">
        <v>132</v>
      </c>
      <c r="E19" s="359"/>
      <c r="F19" s="198"/>
      <c r="G19" s="181" t="s">
        <v>133</v>
      </c>
      <c r="H19" s="178"/>
      <c r="I19" s="197">
        <f>SUM(K19,M19,O19,Q19,S19,U19)</f>
        <v>1484661351.3897352</v>
      </c>
      <c r="J19" s="191"/>
      <c r="K19" s="191">
        <f>+K15-K17</f>
        <v>598527807.71484292</v>
      </c>
      <c r="L19" s="191"/>
      <c r="M19" s="191">
        <f>+M15-M17</f>
        <v>222812444.32769942</v>
      </c>
      <c r="N19" s="197"/>
      <c r="O19" s="191">
        <f>+O15-O17</f>
        <v>109491864.20161763</v>
      </c>
      <c r="P19" s="197"/>
      <c r="Q19" s="191">
        <f>+Q15-Q17</f>
        <v>7775789.1505231829</v>
      </c>
      <c r="R19" s="197"/>
      <c r="S19" s="191">
        <f>+S15-S17</f>
        <v>522023425.72225827</v>
      </c>
      <c r="T19" s="197"/>
      <c r="U19" s="191">
        <f>+U15-U17</f>
        <v>24030020.272793818</v>
      </c>
    </row>
    <row r="20" spans="1:21">
      <c r="B20" s="180"/>
      <c r="C20" s="181"/>
      <c r="D20" s="189"/>
      <c r="E20" s="182"/>
      <c r="F20" s="198"/>
      <c r="G20" s="178"/>
      <c r="H20" s="178"/>
      <c r="I20" s="197"/>
      <c r="J20" s="191"/>
      <c r="K20" s="191"/>
      <c r="L20" s="191"/>
      <c r="M20" s="191"/>
      <c r="N20" s="197"/>
      <c r="O20" s="191"/>
      <c r="P20" s="197"/>
      <c r="Q20" s="191"/>
      <c r="R20" s="197"/>
      <c r="S20" s="191"/>
      <c r="T20" s="197"/>
      <c r="U20" s="191"/>
    </row>
    <row r="21" spans="1:21">
      <c r="B21" s="180">
        <f>+B19+1</f>
        <v>4</v>
      </c>
      <c r="C21" s="181"/>
      <c r="D21" s="189" t="s">
        <v>134</v>
      </c>
      <c r="E21" s="182"/>
      <c r="F21" s="198"/>
      <c r="G21" s="178"/>
      <c r="H21" s="178"/>
      <c r="I21" s="197"/>
      <c r="J21" s="191"/>
      <c r="K21" s="197"/>
      <c r="L21" s="191"/>
      <c r="M21" s="197"/>
      <c r="N21" s="197"/>
      <c r="O21" s="197"/>
      <c r="P21" s="197"/>
      <c r="Q21" s="197"/>
      <c r="R21" s="197"/>
      <c r="S21" s="197"/>
      <c r="T21" s="197"/>
      <c r="U21" s="197"/>
    </row>
    <row r="22" spans="1:21">
      <c r="B22" s="180">
        <f>+B21+1</f>
        <v>5</v>
      </c>
      <c r="C22" s="181"/>
      <c r="D22" s="189" t="s">
        <v>135</v>
      </c>
      <c r="E22" s="182"/>
      <c r="F22" s="198"/>
      <c r="G22" s="181" t="s">
        <v>136</v>
      </c>
      <c r="H22" s="178"/>
      <c r="I22" s="199">
        <f>SUM(K22,M22,O22,Q22,S22,U22)</f>
        <v>46089033.019732691</v>
      </c>
      <c r="J22" s="200"/>
      <c r="K22" s="201">
        <v>29648267.104692813</v>
      </c>
      <c r="L22" s="202"/>
      <c r="M22" s="201">
        <v>7422278.4356108131</v>
      </c>
      <c r="N22" s="201"/>
      <c r="O22" s="201">
        <v>0</v>
      </c>
      <c r="P22" s="201"/>
      <c r="Q22" s="201">
        <v>0</v>
      </c>
      <c r="R22" s="201"/>
      <c r="S22" s="201">
        <v>8843525.4075431358</v>
      </c>
      <c r="T22" s="201"/>
      <c r="U22" s="201">
        <v>174962.07188592575</v>
      </c>
    </row>
    <row r="23" spans="1:21">
      <c r="B23" s="180">
        <f>+B22+1</f>
        <v>6</v>
      </c>
      <c r="C23" s="181"/>
      <c r="D23" s="189" t="s">
        <v>137</v>
      </c>
      <c r="E23" s="182"/>
      <c r="F23" s="198"/>
      <c r="G23" s="181" t="str">
        <f>"(Worksheet J)"</f>
        <v>(Worksheet J)</v>
      </c>
      <c r="H23" s="178"/>
      <c r="I23" s="203">
        <f>SUM(K23,M23,O23,Q23,S23,U23)</f>
        <v>0</v>
      </c>
      <c r="J23" s="200"/>
      <c r="K23" s="204">
        <v>0</v>
      </c>
      <c r="L23" s="205"/>
      <c r="M23" s="204">
        <v>0</v>
      </c>
      <c r="N23" s="199"/>
      <c r="O23" s="204">
        <v>0</v>
      </c>
      <c r="P23" s="199"/>
      <c r="Q23" s="204">
        <v>0</v>
      </c>
      <c r="R23" s="199"/>
      <c r="S23" s="204">
        <v>0</v>
      </c>
      <c r="T23" s="199"/>
      <c r="U23" s="204">
        <v>0</v>
      </c>
    </row>
    <row r="24" spans="1:21">
      <c r="B24" s="180">
        <f>+B23+1</f>
        <v>7</v>
      </c>
      <c r="C24" s="181"/>
      <c r="D24" s="206" t="s">
        <v>138</v>
      </c>
      <c r="E24" s="182" t="s">
        <v>30</v>
      </c>
      <c r="F24" s="198"/>
      <c r="G24" s="178"/>
      <c r="H24" s="178"/>
      <c r="I24" s="205">
        <f>+I23+I22</f>
        <v>46089033.019732691</v>
      </c>
      <c r="J24" s="200"/>
      <c r="K24" s="205">
        <f>+K23+K22</f>
        <v>29648267.104692813</v>
      </c>
      <c r="L24" s="205"/>
      <c r="M24" s="205">
        <f>+M23+M22</f>
        <v>7422278.4356108131</v>
      </c>
      <c r="N24" s="199"/>
      <c r="O24" s="205">
        <f>+O23+O22</f>
        <v>0</v>
      </c>
      <c r="P24" s="199"/>
      <c r="Q24" s="205">
        <f>+Q23+Q22</f>
        <v>0</v>
      </c>
      <c r="R24" s="199"/>
      <c r="S24" s="205">
        <f>+S23+S22</f>
        <v>8843525.4075431358</v>
      </c>
      <c r="T24" s="199"/>
      <c r="U24" s="205">
        <f>+U23+U22</f>
        <v>174962.07188592575</v>
      </c>
    </row>
    <row r="25" spans="1:21">
      <c r="B25" s="180"/>
      <c r="C25" s="181"/>
      <c r="D25" s="189"/>
      <c r="E25" s="182"/>
      <c r="F25" s="198"/>
      <c r="G25" s="178"/>
      <c r="H25" s="178"/>
      <c r="I25" s="207"/>
      <c r="J25" s="191"/>
      <c r="K25" s="208"/>
      <c r="L25" s="209"/>
      <c r="M25" s="208"/>
      <c r="N25" s="197"/>
      <c r="O25" s="208"/>
      <c r="P25" s="197"/>
      <c r="Q25" s="208"/>
      <c r="R25" s="197"/>
      <c r="S25" s="210"/>
      <c r="T25" s="197"/>
      <c r="U25" s="208"/>
    </row>
    <row r="26" spans="1:21">
      <c r="B26" s="180">
        <f>+B24+1</f>
        <v>8</v>
      </c>
      <c r="C26" s="181"/>
      <c r="D26" s="189" t="s">
        <v>139</v>
      </c>
      <c r="E26" s="182"/>
      <c r="G26" s="198" t="str">
        <f>"(Ln "&amp;B19&amp;"- Ln "&amp;B24&amp;")"</f>
        <v>(Ln 3- Ln 7)</v>
      </c>
      <c r="H26" s="178"/>
      <c r="I26" s="197">
        <f>SUM(K26,M26,O26,Q26,S26,U26)</f>
        <v>1438572318.3700025</v>
      </c>
      <c r="J26" s="191"/>
      <c r="K26" s="209">
        <f>+K19-K24</f>
        <v>568879540.6101501</v>
      </c>
      <c r="L26" s="209"/>
      <c r="M26" s="209">
        <f>+M19-M24</f>
        <v>215390165.89208862</v>
      </c>
      <c r="N26" s="197"/>
      <c r="O26" s="209">
        <f>+O19-O24</f>
        <v>109491864.20161763</v>
      </c>
      <c r="P26" s="197"/>
      <c r="Q26" s="209">
        <f>+Q19-Q24</f>
        <v>7775789.1505231829</v>
      </c>
      <c r="R26" s="197"/>
      <c r="S26" s="211">
        <f>+S19-S24</f>
        <v>513179900.31471515</v>
      </c>
      <c r="T26" s="197"/>
      <c r="U26" s="209">
        <f>+U19-U24</f>
        <v>23855058.200907893</v>
      </c>
    </row>
    <row r="27" spans="1:21">
      <c r="B27" s="174"/>
      <c r="C27" s="181"/>
      <c r="E27" s="182"/>
      <c r="G27" s="178"/>
      <c r="H27" s="178"/>
      <c r="I27" s="197"/>
      <c r="J27" s="191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</row>
    <row r="28" spans="1:21">
      <c r="B28" s="180">
        <f>+B26+1</f>
        <v>9</v>
      </c>
      <c r="C28" s="181"/>
      <c r="D28" s="189" t="s">
        <v>140</v>
      </c>
      <c r="E28" s="182"/>
      <c r="F28" s="198"/>
      <c r="G28" s="181" t="str">
        <f>"(Worksheet J)"</f>
        <v>(Worksheet J)</v>
      </c>
      <c r="H28" s="178"/>
      <c r="I28" s="190">
        <f>SUM(K28,M28,O28,Q28,S28,U28)</f>
        <v>0</v>
      </c>
      <c r="J28" s="191"/>
      <c r="K28" s="212">
        <v>0</v>
      </c>
      <c r="L28" s="213"/>
      <c r="M28" s="212">
        <v>0</v>
      </c>
      <c r="N28" s="195"/>
      <c r="O28" s="212">
        <v>0</v>
      </c>
      <c r="P28" s="195"/>
      <c r="Q28" s="212">
        <v>0</v>
      </c>
      <c r="R28" s="195"/>
      <c r="S28" s="212">
        <v>0</v>
      </c>
      <c r="T28" s="195"/>
      <c r="U28" s="212">
        <v>0</v>
      </c>
    </row>
    <row r="29" spans="1:21">
      <c r="B29" s="180"/>
      <c r="C29" s="181"/>
      <c r="D29" s="189"/>
      <c r="E29" s="182"/>
      <c r="F29" s="198"/>
      <c r="G29" s="178"/>
      <c r="H29" s="178"/>
      <c r="I29" s="207"/>
      <c r="J29" s="191"/>
      <c r="K29" s="208"/>
      <c r="L29" s="209"/>
      <c r="M29" s="210"/>
      <c r="N29" s="197"/>
      <c r="O29" s="208"/>
      <c r="P29" s="197"/>
      <c r="Q29" s="208"/>
      <c r="R29" s="197"/>
      <c r="S29" s="210"/>
      <c r="T29" s="197"/>
      <c r="U29" s="208"/>
    </row>
    <row r="30" spans="1:21">
      <c r="B30" s="180">
        <f>+B28+1</f>
        <v>10</v>
      </c>
      <c r="C30" s="181"/>
      <c r="D30" s="189" t="s">
        <v>141</v>
      </c>
      <c r="E30" s="182"/>
      <c r="G30" s="198" t="str">
        <f>"(Ln "&amp;B26&amp;" + Ln "&amp;B28&amp;")"</f>
        <v>(Ln 8 + Ln 9)</v>
      </c>
      <c r="H30" s="178"/>
      <c r="I30" s="190">
        <f>+I26+I28</f>
        <v>1438572318.3700025</v>
      </c>
      <c r="J30" s="191"/>
      <c r="K30" s="209">
        <f>+K26+K28</f>
        <v>568879540.6101501</v>
      </c>
      <c r="L30" s="209"/>
      <c r="M30" s="211">
        <f>+M26+M28</f>
        <v>215390165.89208862</v>
      </c>
      <c r="N30" s="197"/>
      <c r="O30" s="209">
        <f>+O26+O28</f>
        <v>109491864.20161763</v>
      </c>
      <c r="P30" s="197"/>
      <c r="Q30" s="209">
        <f>+Q26+Q28</f>
        <v>7775789.1505231829</v>
      </c>
      <c r="R30" s="197"/>
      <c r="S30" s="211">
        <f>+S26+S28</f>
        <v>513179900.31471515</v>
      </c>
      <c r="T30" s="197"/>
      <c r="U30" s="209">
        <f>+U26+U28</f>
        <v>23855058.200907893</v>
      </c>
    </row>
    <row r="31" spans="1:21"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</row>
    <row r="32" spans="1:21" hidden="1">
      <c r="B32" s="180">
        <f>+B30+1</f>
        <v>11</v>
      </c>
      <c r="C32" s="181"/>
      <c r="D32" s="189" t="str">
        <f>"BILLED HISTORICAL YEAR ("&amp;V1-1&amp;") ACTUAL ATRR"</f>
        <v>BILLED HISTORICAL YEAR (2025) ACTUAL ATRR</v>
      </c>
      <c r="E32" s="182"/>
      <c r="F32" s="198"/>
      <c r="G32" s="215" t="str">
        <f>"Input from "&amp;V1-1&amp;" True-up"</f>
        <v>Input from 2025 True-up</v>
      </c>
      <c r="H32" s="178"/>
      <c r="I32" s="216">
        <f>SUM(K32,M32,O32,Q32,S32,U32)</f>
        <v>0</v>
      </c>
      <c r="J32" s="191"/>
      <c r="K32" s="212">
        <v>0</v>
      </c>
      <c r="L32" s="213"/>
      <c r="M32" s="212">
        <v>0</v>
      </c>
      <c r="N32" s="195"/>
      <c r="O32" s="212">
        <v>0</v>
      </c>
      <c r="P32" s="195"/>
      <c r="Q32" s="212">
        <v>0</v>
      </c>
      <c r="R32" s="195"/>
      <c r="S32" s="212">
        <v>0</v>
      </c>
      <c r="T32" s="195"/>
      <c r="U32" s="212">
        <v>0</v>
      </c>
    </row>
    <row r="33" spans="1:28" hidden="1">
      <c r="B33" s="180">
        <f>+B32+1</f>
        <v>12</v>
      </c>
      <c r="C33" s="181"/>
      <c r="D33" s="189" t="str">
        <f>"BILLED PROJECTED ("&amp;V1-1&amp;") ATRR FROM PRIOR YEAR"</f>
        <v>BILLED PROJECTED (2025) ATRR FROM PRIOR YEAR</v>
      </c>
      <c r="E33" s="182"/>
      <c r="F33" s="198"/>
      <c r="G33" s="215" t="s">
        <v>142</v>
      </c>
      <c r="H33" s="178"/>
      <c r="I33" s="217">
        <f>SUM(K33,M33,O33,Q33,S33,U33)</f>
        <v>0</v>
      </c>
      <c r="J33" s="191"/>
      <c r="K33" s="218">
        <v>0</v>
      </c>
      <c r="L33" s="213"/>
      <c r="M33" s="218">
        <v>0</v>
      </c>
      <c r="N33" s="195"/>
      <c r="O33" s="218">
        <v>0</v>
      </c>
      <c r="P33" s="195"/>
      <c r="Q33" s="218">
        <v>0</v>
      </c>
      <c r="R33" s="195"/>
      <c r="S33" s="218">
        <v>0</v>
      </c>
      <c r="T33" s="195"/>
      <c r="U33" s="218">
        <v>0</v>
      </c>
    </row>
    <row r="34" spans="1:28">
      <c r="B34" s="180">
        <f>+B30+1</f>
        <v>11</v>
      </c>
      <c r="C34" s="181"/>
      <c r="D34" s="189" t="s">
        <v>189</v>
      </c>
      <c r="E34" s="182"/>
      <c r="F34" s="198"/>
      <c r="G34" s="198" t="s">
        <v>144</v>
      </c>
      <c r="H34" s="178"/>
      <c r="I34" s="197">
        <f>SUM(K34,M34,O34,Q34,S34,U34)</f>
        <v>-27356161.087565605</v>
      </c>
      <c r="J34" s="219"/>
      <c r="K34" s="219">
        <v>-2701751.4474982354</v>
      </c>
      <c r="L34" s="219"/>
      <c r="M34" s="219">
        <v>-10821845.42545972</v>
      </c>
      <c r="N34" s="219"/>
      <c r="O34" s="219">
        <v>-7424454.0244029826</v>
      </c>
      <c r="P34" s="219"/>
      <c r="Q34" s="219">
        <v>-423915.91235994524</v>
      </c>
      <c r="R34" s="219"/>
      <c r="S34" s="219">
        <v>-4453612.4805733627</v>
      </c>
      <c r="T34" s="219"/>
      <c r="U34" s="219">
        <v>-1530581.7972713558</v>
      </c>
    </row>
    <row r="35" spans="1:28">
      <c r="B35" s="180"/>
      <c r="C35" s="181"/>
      <c r="D35" s="189"/>
      <c r="E35" s="182"/>
      <c r="F35" s="198"/>
      <c r="G35" s="198"/>
      <c r="H35" s="178"/>
      <c r="I35" s="197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</row>
    <row r="36" spans="1:28">
      <c r="B36" s="220" t="s">
        <v>145</v>
      </c>
      <c r="D36" s="189" t="s">
        <v>146</v>
      </c>
      <c r="E36" s="182"/>
      <c r="F36" s="198"/>
      <c r="G36" s="215" t="s">
        <v>147</v>
      </c>
      <c r="H36" s="178"/>
      <c r="I36" s="197">
        <f>SUM(K36,M36,O36,Q36,S36,U36)</f>
        <v>12604375.400668727</v>
      </c>
      <c r="J36" s="191"/>
      <c r="K36" s="209"/>
      <c r="L36" s="209"/>
      <c r="M36" s="211">
        <v>329210.36066872563</v>
      </c>
      <c r="N36" s="197"/>
      <c r="O36" s="209"/>
      <c r="P36" s="197"/>
      <c r="Q36" s="209"/>
      <c r="R36" s="197"/>
      <c r="S36" s="211">
        <v>12275165.040000001</v>
      </c>
      <c r="T36" s="197"/>
      <c r="U36" s="209"/>
    </row>
    <row r="37" spans="1:28" ht="15.95" thickBot="1">
      <c r="B37" s="220"/>
      <c r="D37" s="189"/>
      <c r="E37" s="182"/>
      <c r="F37" s="198"/>
      <c r="G37" s="215"/>
      <c r="H37" s="178"/>
      <c r="I37" s="190"/>
      <c r="J37" s="191"/>
      <c r="K37" s="209"/>
      <c r="L37" s="209"/>
      <c r="M37" s="211"/>
      <c r="N37" s="197"/>
      <c r="O37" s="209"/>
      <c r="P37" s="197"/>
      <c r="Q37" s="209"/>
      <c r="R37" s="197"/>
      <c r="S37" s="211"/>
      <c r="T37" s="197"/>
      <c r="U37" s="209"/>
    </row>
    <row r="38" spans="1:28" ht="15.95" thickBot="1">
      <c r="B38" s="180">
        <f>+B34+1</f>
        <v>12</v>
      </c>
      <c r="C38" s="181"/>
      <c r="D38" s="221" t="s">
        <v>156</v>
      </c>
      <c r="E38" s="222"/>
      <c r="F38" s="223"/>
      <c r="G38" s="224" t="str">
        <f>"(Ln "&amp;B30&amp;" + Ln "&amp;B34&amp;")"</f>
        <v>(Ln 10 + Ln 11)</v>
      </c>
      <c r="H38" s="225"/>
      <c r="I38" s="226">
        <f>+I30+I34+I36</f>
        <v>1423820532.6831055</v>
      </c>
      <c r="J38" s="191"/>
      <c r="K38" s="226">
        <f>+K30+K34+K36</f>
        <v>566177789.1626519</v>
      </c>
      <c r="L38" s="191"/>
      <c r="M38" s="226">
        <f>+M30+M34+M36</f>
        <v>204897530.82729763</v>
      </c>
      <c r="N38" s="197"/>
      <c r="O38" s="226">
        <f>+O30+O34+O36</f>
        <v>102067410.17721465</v>
      </c>
      <c r="P38" s="197"/>
      <c r="Q38" s="226">
        <f>+Q30+Q34+Q36</f>
        <v>7351873.2381632375</v>
      </c>
      <c r="R38" s="197"/>
      <c r="S38" s="226">
        <f>+S30+S34+S36</f>
        <v>521001452.87414181</v>
      </c>
      <c r="T38" s="197"/>
      <c r="U38" s="226">
        <f>+U30+U34+U36</f>
        <v>22324476.403636537</v>
      </c>
      <c r="W38" s="227"/>
      <c r="X38" s="228"/>
      <c r="Y38" s="228"/>
      <c r="Z38" s="228"/>
      <c r="AA38" s="228"/>
      <c r="AB38" s="228"/>
    </row>
    <row r="39" spans="1:28">
      <c r="B39" s="180"/>
      <c r="C39" s="181"/>
      <c r="D39" s="189"/>
      <c r="E39" s="182"/>
      <c r="G39" s="198"/>
      <c r="H39" s="178"/>
      <c r="I39" s="191"/>
      <c r="J39" s="178"/>
      <c r="L39" s="191"/>
      <c r="N39" s="191"/>
      <c r="P39" s="227"/>
      <c r="Q39" s="228"/>
      <c r="R39" s="228"/>
      <c r="S39" s="228"/>
      <c r="T39" s="228"/>
      <c r="U39" s="228"/>
    </row>
    <row r="40" spans="1:28">
      <c r="A40" s="185" t="s">
        <v>157</v>
      </c>
      <c r="B40" s="188" t="s">
        <v>158</v>
      </c>
      <c r="C40" s="181"/>
      <c r="D40" s="182"/>
      <c r="E40" s="1" t="s">
        <v>30</v>
      </c>
      <c r="F40" s="182"/>
      <c r="G40" s="182"/>
      <c r="H40" s="182"/>
      <c r="I40" s="191"/>
      <c r="J40" s="182"/>
      <c r="K40" s="195"/>
      <c r="L40" s="229"/>
      <c r="M40" s="195"/>
      <c r="N40" s="229"/>
      <c r="P40" s="227"/>
      <c r="Q40" s="228"/>
      <c r="R40" s="228"/>
      <c r="S40" s="228"/>
      <c r="T40" s="228"/>
      <c r="U40" s="228"/>
    </row>
    <row r="41" spans="1:28">
      <c r="B41" s="180">
        <f>+B38+1</f>
        <v>13</v>
      </c>
      <c r="C41" s="181"/>
      <c r="D41" s="189" t="str">
        <f>""&amp;V1&amp;" AEP East Zone Network Service Peak Load (1 CP)"</f>
        <v>2026 AEP East Zone Network Service Peak Load (1 CP)</v>
      </c>
      <c r="E41" s="182"/>
      <c r="F41" s="198"/>
      <c r="G41" s="215"/>
      <c r="H41" s="178"/>
      <c r="I41" s="230">
        <v>23710.2</v>
      </c>
      <c r="J41" s="178" t="s">
        <v>77</v>
      </c>
      <c r="L41" s="191"/>
      <c r="N41" s="191"/>
      <c r="P41" s="227"/>
      <c r="Q41" s="228"/>
      <c r="R41" s="228"/>
      <c r="S41" s="228"/>
      <c r="T41" s="228"/>
      <c r="U41" s="228"/>
    </row>
    <row r="42" spans="1:28">
      <c r="B42" s="231"/>
      <c r="C42" s="189"/>
      <c r="D42" s="189"/>
      <c r="E42" s="173"/>
      <c r="F42" s="173"/>
      <c r="G42" s="232"/>
      <c r="H42" s="173"/>
      <c r="I42" s="176"/>
      <c r="J42" s="173"/>
      <c r="K42" s="173"/>
      <c r="L42" s="173"/>
      <c r="M42" s="173"/>
      <c r="N42" s="173"/>
      <c r="O42" s="173"/>
      <c r="P42" s="227"/>
      <c r="Q42" s="228"/>
      <c r="R42" s="228"/>
      <c r="S42" s="228"/>
      <c r="T42" s="228"/>
      <c r="U42" s="228"/>
    </row>
    <row r="43" spans="1:28">
      <c r="B43" s="180">
        <f>+B41+1</f>
        <v>14</v>
      </c>
      <c r="C43" s="189"/>
      <c r="D43" s="189" t="str">
        <f>"Annual Point-to-Point Rate in $/MW - Year"</f>
        <v>Annual Point-to-Point Rate in $/MW - Year</v>
      </c>
      <c r="E43" s="189"/>
      <c r="F43" s="189"/>
      <c r="G43" s="233" t="str">
        <f>"(Ln "&amp;B38&amp;" / Ln "&amp;B41&amp;")"</f>
        <v>(Ln 12 / Ln 13)</v>
      </c>
      <c r="H43" s="189"/>
      <c r="I43" s="174">
        <f>ROUND(+I38/I41,4)</f>
        <v>60050.970999999998</v>
      </c>
      <c r="J43" s="189"/>
      <c r="K43" s="173"/>
      <c r="L43" s="173"/>
      <c r="M43" s="173"/>
      <c r="N43" s="173"/>
      <c r="O43" s="173"/>
      <c r="P43" s="227"/>
      <c r="Q43" s="228"/>
      <c r="R43" s="228"/>
      <c r="S43" s="228"/>
      <c r="T43" s="228"/>
      <c r="U43" s="228"/>
    </row>
    <row r="44" spans="1:28">
      <c r="B44" s="180">
        <f t="shared" ref="B44:B49" si="0">+B43+1</f>
        <v>15</v>
      </c>
      <c r="C44" s="189"/>
      <c r="D44" s="189" t="str">
        <f>"Monthly Point-to-Point Rate in $/MW - Month"</f>
        <v>Monthly Point-to-Point Rate in $/MW - Month</v>
      </c>
      <c r="E44" s="189"/>
      <c r="F44" s="189"/>
      <c r="G44" s="233" t="str">
        <f>"(Ln "&amp;B43&amp;" / 12)"</f>
        <v>(Ln 14 / 12)</v>
      </c>
      <c r="H44" s="189"/>
      <c r="I44" s="174">
        <f>ROUND(+I$43/12,4)</f>
        <v>5004.2475999999997</v>
      </c>
      <c r="J44" s="189"/>
      <c r="K44" s="173"/>
      <c r="L44" s="173"/>
      <c r="M44" s="173"/>
      <c r="N44" s="173"/>
      <c r="O44" s="173"/>
      <c r="P44" s="227"/>
      <c r="Q44" s="228"/>
      <c r="R44" s="228"/>
      <c r="S44" s="228"/>
      <c r="T44" s="228"/>
      <c r="U44" s="228"/>
    </row>
    <row r="45" spans="1:28">
      <c r="B45" s="180">
        <f t="shared" si="0"/>
        <v>16</v>
      </c>
      <c r="C45" s="189"/>
      <c r="D45" s="189" t="str">
        <f>"Weekly Point-to-Point Rate in $/MW - Weekly"</f>
        <v>Weekly Point-to-Point Rate in $/MW - Weekly</v>
      </c>
      <c r="E45" s="189"/>
      <c r="F45" s="189"/>
      <c r="G45" s="233" t="str">
        <f>"(Ln "&amp;B43&amp;" / 52)"</f>
        <v>(Ln 14 / 52)</v>
      </c>
      <c r="H45" s="189"/>
      <c r="I45" s="174">
        <f>ROUND(+I43/52,4)</f>
        <v>1154.8263999999999</v>
      </c>
      <c r="J45" s="189"/>
      <c r="K45" s="173"/>
      <c r="L45" s="173"/>
      <c r="M45" s="173"/>
      <c r="N45" s="173"/>
      <c r="O45" s="173"/>
      <c r="P45" s="227"/>
      <c r="Q45" s="228"/>
      <c r="R45" s="228"/>
      <c r="S45" s="228"/>
      <c r="T45" s="228"/>
      <c r="U45" s="228"/>
    </row>
    <row r="46" spans="1:28">
      <c r="B46" s="180">
        <f t="shared" si="0"/>
        <v>17</v>
      </c>
      <c r="C46" s="189"/>
      <c r="D46" s="189" t="str">
        <f>"Daily On-Peak Point-to-Point Rate in $/MW - Day"</f>
        <v>Daily On-Peak Point-to-Point Rate in $/MW - Day</v>
      </c>
      <c r="E46" s="189"/>
      <c r="F46" s="189"/>
      <c r="G46" s="233" t="str">
        <f>"(Ln "&amp;B43&amp;" / 260)"</f>
        <v>(Ln 14 / 260)</v>
      </c>
      <c r="H46" s="189"/>
      <c r="I46" s="174">
        <f>ROUND(+I43/260,4)</f>
        <v>230.96530000000001</v>
      </c>
      <c r="J46" s="189"/>
      <c r="K46" s="173"/>
      <c r="L46" s="173"/>
      <c r="M46" s="173"/>
      <c r="N46" s="173"/>
      <c r="O46" s="173"/>
      <c r="P46" s="227"/>
      <c r="Q46" s="228"/>
      <c r="R46" s="228"/>
      <c r="S46" s="228"/>
      <c r="T46" s="228"/>
      <c r="U46" s="228"/>
    </row>
    <row r="47" spans="1:28">
      <c r="B47" s="180">
        <f t="shared" si="0"/>
        <v>18</v>
      </c>
      <c r="C47" s="189"/>
      <c r="D47" s="189" t="str">
        <f>"Daily Off-Peak Point-to-Point Rate in $/MW - Day"</f>
        <v>Daily Off-Peak Point-to-Point Rate in $/MW - Day</v>
      </c>
      <c r="E47" s="189"/>
      <c r="F47" s="189"/>
      <c r="G47" s="233" t="str">
        <f>"(Ln "&amp;B43&amp;" / 365)"</f>
        <v>(Ln 14 / 365)</v>
      </c>
      <c r="H47" s="189"/>
      <c r="I47" s="174">
        <f>ROUND(+I43/365,4)</f>
        <v>164.5232</v>
      </c>
      <c r="J47" s="189"/>
      <c r="K47" s="173"/>
      <c r="L47" s="173"/>
      <c r="M47" s="173"/>
      <c r="N47" s="173"/>
      <c r="O47" s="173"/>
      <c r="P47" s="227"/>
      <c r="Q47" s="228"/>
      <c r="R47" s="228"/>
      <c r="S47" s="228"/>
      <c r="T47" s="228"/>
      <c r="U47" s="228"/>
    </row>
    <row r="48" spans="1:28">
      <c r="B48" s="180">
        <f t="shared" si="0"/>
        <v>19</v>
      </c>
      <c r="C48" s="189"/>
      <c r="D48" s="189" t="str">
        <f>"Hourly On-Peak Point-to-Point Rate in $/MW - Hour"</f>
        <v>Hourly On-Peak Point-to-Point Rate in $/MW - Hour</v>
      </c>
      <c r="E48" s="189"/>
      <c r="F48" s="189"/>
      <c r="G48" s="233" t="str">
        <f>"(Ln "&amp;B43&amp;" / 4160)"</f>
        <v>(Ln 14 / 4160)</v>
      </c>
      <c r="H48" s="189"/>
      <c r="I48" s="174">
        <f>ROUND(+I43/4160,4)</f>
        <v>14.4353</v>
      </c>
      <c r="J48" s="189"/>
      <c r="K48" s="173"/>
      <c r="L48" s="173"/>
      <c r="M48" s="173"/>
      <c r="N48" s="173"/>
      <c r="O48" s="173"/>
      <c r="P48" s="227"/>
      <c r="Q48" s="228"/>
      <c r="R48" s="228"/>
      <c r="S48" s="228"/>
      <c r="T48" s="228"/>
      <c r="U48" s="228"/>
    </row>
    <row r="49" spans="1:28">
      <c r="B49" s="180">
        <f t="shared" si="0"/>
        <v>20</v>
      </c>
      <c r="C49" s="189"/>
      <c r="D49" s="189" t="str">
        <f>"Hourly Off-Peak Point-to-Point Rate in $/MW - Hour"</f>
        <v>Hourly Off-Peak Point-to-Point Rate in $/MW - Hour</v>
      </c>
      <c r="E49" s="189"/>
      <c r="F49" s="189"/>
      <c r="G49" s="233" t="str">
        <f>"(Ln "&amp;B43&amp;" / 8760)"</f>
        <v>(Ln 14 / 8760)</v>
      </c>
      <c r="H49" s="189"/>
      <c r="I49" s="174">
        <f>ROUND(+I43/8760,4)</f>
        <v>6.8551000000000002</v>
      </c>
      <c r="J49" s="189"/>
      <c r="K49" s="173"/>
      <c r="L49" s="173"/>
      <c r="M49" s="173"/>
      <c r="N49" s="173"/>
      <c r="O49" s="173"/>
      <c r="P49" s="227"/>
      <c r="Q49" s="228"/>
      <c r="R49" s="228"/>
      <c r="S49" s="228"/>
      <c r="T49" s="228"/>
      <c r="U49" s="228"/>
    </row>
    <row r="50" spans="1:28">
      <c r="G50" s="234"/>
      <c r="H50" s="178"/>
      <c r="J50" s="178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235"/>
      <c r="X50" s="236"/>
      <c r="Y50" s="236"/>
      <c r="Z50" s="236"/>
      <c r="AA50" s="236"/>
      <c r="AB50" s="236"/>
    </row>
    <row r="51" spans="1:28">
      <c r="A51" s="185" t="s">
        <v>159</v>
      </c>
      <c r="B51" s="188" t="s">
        <v>160</v>
      </c>
      <c r="C51" s="181"/>
      <c r="D51" s="182"/>
      <c r="E51" s="181"/>
      <c r="F51" s="182"/>
      <c r="G51" s="181"/>
      <c r="H51" s="182"/>
      <c r="J51" s="182"/>
      <c r="L51" s="182"/>
    </row>
    <row r="52" spans="1:28">
      <c r="B52" s="237">
        <f>+B49+1</f>
        <v>21</v>
      </c>
      <c r="C52" s="189"/>
      <c r="D52" s="189" t="str">
        <f>"RTEP UPGRADE ATRR W/O INCENTIVES"</f>
        <v>RTEP UPGRADE ATRR W/O INCENTIVES</v>
      </c>
      <c r="G52" s="198" t="str">
        <f>"(Ln "&amp;B24&amp;")"</f>
        <v>(Ln 7)</v>
      </c>
      <c r="H52" s="189"/>
      <c r="I52" s="238">
        <f t="shared" ref="I52:I54" si="1">SUM(K52,M52,O52,Q52,S52,U52)</f>
        <v>46089033.019732691</v>
      </c>
      <c r="J52" s="189"/>
      <c r="K52" s="239">
        <f>K24</f>
        <v>29648267.104692813</v>
      </c>
      <c r="L52" s="189"/>
      <c r="M52" s="239">
        <f>M24</f>
        <v>7422278.4356108131</v>
      </c>
      <c r="N52" s="176"/>
      <c r="O52" s="239">
        <f>O24</f>
        <v>0</v>
      </c>
      <c r="P52" s="176"/>
      <c r="Q52" s="239">
        <f>Q24</f>
        <v>0</v>
      </c>
      <c r="R52" s="176"/>
      <c r="S52" s="239">
        <f>S24</f>
        <v>8843525.4075431358</v>
      </c>
      <c r="T52" s="176"/>
      <c r="U52" s="239">
        <f>U24</f>
        <v>174962.07188592575</v>
      </c>
      <c r="Y52" s="173"/>
      <c r="AA52" s="173"/>
    </row>
    <row r="53" spans="1:28">
      <c r="B53" s="237">
        <f>+B52+1</f>
        <v>22</v>
      </c>
      <c r="C53" s="189"/>
      <c r="D53" s="174" t="s">
        <v>161</v>
      </c>
      <c r="G53" s="215" t="str">
        <f>"(Worksheet J)"</f>
        <v>(Worksheet J)</v>
      </c>
      <c r="H53" s="189"/>
      <c r="I53" s="238">
        <f t="shared" si="1"/>
        <v>0</v>
      </c>
      <c r="J53" s="189"/>
      <c r="K53" s="240">
        <v>0</v>
      </c>
      <c r="L53" s="189"/>
      <c r="M53" s="240">
        <v>0</v>
      </c>
      <c r="N53" s="176"/>
      <c r="O53" s="240">
        <v>0</v>
      </c>
      <c r="P53" s="176"/>
      <c r="Q53" s="240">
        <v>0</v>
      </c>
      <c r="R53" s="176"/>
      <c r="S53" s="240">
        <v>0</v>
      </c>
      <c r="T53" s="176"/>
      <c r="U53" s="240">
        <v>0</v>
      </c>
    </row>
    <row r="54" spans="1:28" ht="15.95" thickBot="1">
      <c r="B54" s="237">
        <f>+B53+1</f>
        <v>23</v>
      </c>
      <c r="C54" s="189"/>
      <c r="D54" s="174" t="s">
        <v>162</v>
      </c>
      <c r="G54" s="198" t="s">
        <v>144</v>
      </c>
      <c r="H54" s="189"/>
      <c r="I54" s="238">
        <f t="shared" si="1"/>
        <v>-601705.86457133153</v>
      </c>
      <c r="J54" s="189"/>
      <c r="K54" s="241">
        <v>853651.3021961404</v>
      </c>
      <c r="L54" s="239"/>
      <c r="M54" s="242">
        <v>-1513833.1463470568</v>
      </c>
      <c r="N54" s="238"/>
      <c r="O54" s="242">
        <v>0</v>
      </c>
      <c r="P54" s="238"/>
      <c r="Q54" s="242">
        <v>0</v>
      </c>
      <c r="R54" s="238"/>
      <c r="S54" s="242">
        <v>65918.677433401113</v>
      </c>
      <c r="T54" s="238"/>
      <c r="U54" s="242">
        <v>-7442.6978538162211</v>
      </c>
    </row>
    <row r="55" spans="1:28" ht="15.95" thickBot="1">
      <c r="B55" s="237">
        <f>+B54+1</f>
        <v>24</v>
      </c>
      <c r="C55" s="189"/>
      <c r="D55" s="243" t="s">
        <v>166</v>
      </c>
      <c r="E55" s="223"/>
      <c r="F55" s="223"/>
      <c r="G55" s="244"/>
      <c r="H55" s="244"/>
      <c r="I55" s="245">
        <f>+I52+I53+I54</f>
        <v>45487327.155161358</v>
      </c>
      <c r="J55" s="189"/>
      <c r="K55" s="246">
        <f>+K52+K53+K54</f>
        <v>30501918.406888954</v>
      </c>
      <c r="L55" s="189"/>
      <c r="M55" s="246">
        <f>+M52+M53+M54</f>
        <v>5908445.289263756</v>
      </c>
      <c r="N55" s="176"/>
      <c r="O55" s="246">
        <f>+O52+O53+O54</f>
        <v>0</v>
      </c>
      <c r="P55" s="176"/>
      <c r="Q55" s="246">
        <f>+Q52+Q53+Q54</f>
        <v>0</v>
      </c>
      <c r="R55" s="176"/>
      <c r="S55" s="246">
        <f>+S52+S53+S54</f>
        <v>8909444.0849765372</v>
      </c>
      <c r="T55" s="176"/>
      <c r="U55" s="246">
        <f>+U52+U53+U54</f>
        <v>167519.37403210954</v>
      </c>
    </row>
    <row r="56" spans="1:28">
      <c r="B56" s="231"/>
      <c r="C56" s="189"/>
      <c r="D56" s="189"/>
      <c r="E56" s="189"/>
      <c r="F56" s="189"/>
      <c r="G56" s="189"/>
      <c r="H56" s="189"/>
      <c r="I56" s="176"/>
      <c r="J56" s="189"/>
      <c r="K56" s="189"/>
      <c r="L56" s="189"/>
      <c r="M56" s="189"/>
      <c r="N56" s="176"/>
      <c r="O56" s="189"/>
      <c r="P56" s="176"/>
      <c r="Q56" s="189"/>
      <c r="R56" s="176"/>
      <c r="S56" s="189"/>
      <c r="T56" s="176"/>
      <c r="U56" s="189"/>
    </row>
    <row r="57" spans="1:28">
      <c r="B57" s="231"/>
      <c r="C57" s="189"/>
      <c r="D57" s="189" t="s">
        <v>30</v>
      </c>
      <c r="E57" s="247" t="s">
        <v>30</v>
      </c>
      <c r="F57" s="189"/>
      <c r="G57" s="189"/>
      <c r="H57" s="189"/>
      <c r="I57" s="176"/>
      <c r="J57" s="189"/>
      <c r="K57" s="189"/>
      <c r="L57" s="189"/>
      <c r="M57" s="189"/>
      <c r="N57" s="176"/>
      <c r="O57" s="189"/>
      <c r="P57" s="176"/>
      <c r="Q57" s="189"/>
      <c r="R57" s="176"/>
      <c r="S57" s="189"/>
      <c r="T57" s="176"/>
      <c r="U57" s="189"/>
    </row>
    <row r="58" spans="1:28">
      <c r="B58" s="231"/>
      <c r="C58" s="189"/>
      <c r="D58" s="189" t="s">
        <v>167</v>
      </c>
      <c r="E58" s="247" t="s">
        <v>30</v>
      </c>
      <c r="F58" s="189"/>
      <c r="G58" s="189"/>
      <c r="H58" s="189"/>
      <c r="I58" s="248"/>
      <c r="J58" s="189"/>
      <c r="K58" s="189"/>
      <c r="L58" s="189"/>
      <c r="M58" s="189"/>
      <c r="N58" s="176"/>
      <c r="O58" s="189"/>
      <c r="P58" s="176"/>
      <c r="Q58" s="189"/>
      <c r="R58" s="176"/>
      <c r="S58" s="189"/>
      <c r="T58" s="176"/>
      <c r="U58" s="189"/>
    </row>
    <row r="59" spans="1:28">
      <c r="B59" s="231"/>
      <c r="C59" s="189"/>
      <c r="D59" s="189"/>
      <c r="E59" s="189"/>
      <c r="F59" s="189"/>
      <c r="G59" s="249" t="s">
        <v>30</v>
      </c>
      <c r="H59" s="189"/>
      <c r="I59" s="176"/>
      <c r="J59" s="189"/>
      <c r="K59" s="189"/>
      <c r="L59" s="189"/>
      <c r="M59" s="189"/>
      <c r="N59" s="176"/>
      <c r="O59" s="189"/>
      <c r="P59" s="176"/>
      <c r="Q59" s="189"/>
      <c r="R59" s="176"/>
      <c r="S59" s="189"/>
      <c r="T59" s="176"/>
      <c r="U59" s="189"/>
    </row>
    <row r="60" spans="1:28">
      <c r="B60" s="250"/>
      <c r="C60" s="182"/>
      <c r="D60" s="182"/>
      <c r="E60" s="182"/>
      <c r="F60" s="182"/>
      <c r="G60" s="182"/>
      <c r="H60" s="182"/>
      <c r="I60" s="176"/>
      <c r="J60" s="182"/>
      <c r="K60" s="182"/>
      <c r="L60" s="182"/>
      <c r="M60" s="182"/>
      <c r="N60" s="176"/>
      <c r="O60" s="182"/>
      <c r="P60" s="176"/>
      <c r="Q60" s="182"/>
      <c r="R60" s="176"/>
      <c r="S60" s="182"/>
      <c r="T60" s="176"/>
      <c r="U60" s="182"/>
    </row>
    <row r="61" spans="1:28">
      <c r="B61" s="250"/>
      <c r="C61" s="182"/>
      <c r="D61" s="182"/>
      <c r="E61" s="182"/>
      <c r="F61" s="182"/>
      <c r="G61" s="182"/>
      <c r="H61" s="182"/>
      <c r="I61" s="176"/>
      <c r="J61" s="182"/>
      <c r="K61" s="182"/>
      <c r="L61" s="182"/>
      <c r="M61" s="182"/>
      <c r="N61" s="176"/>
      <c r="O61" s="182"/>
      <c r="P61" s="176"/>
      <c r="Q61" s="182"/>
      <c r="R61" s="176"/>
      <c r="S61" s="182"/>
      <c r="T61" s="176"/>
      <c r="U61" s="182"/>
    </row>
    <row r="62" spans="1:28">
      <c r="B62" s="250"/>
      <c r="C62" s="182" t="s">
        <v>30</v>
      </c>
      <c r="D62" s="182" t="s">
        <v>30</v>
      </c>
      <c r="E62" s="182"/>
      <c r="F62" s="182"/>
      <c r="G62" s="182"/>
      <c r="H62" s="182"/>
      <c r="I62" s="176"/>
      <c r="J62" s="182"/>
      <c r="K62" s="182"/>
      <c r="L62" s="182"/>
      <c r="M62" s="176"/>
      <c r="N62" s="176"/>
      <c r="O62" s="176"/>
      <c r="P62" s="176"/>
      <c r="Q62" s="176"/>
      <c r="R62" s="176"/>
      <c r="S62" s="176"/>
      <c r="T62" s="176"/>
      <c r="U62" s="176"/>
    </row>
    <row r="63" spans="1:28">
      <c r="B63" s="250"/>
      <c r="C63" s="182"/>
      <c r="D63" s="182" t="s">
        <v>30</v>
      </c>
      <c r="E63" s="182"/>
      <c r="F63" s="182"/>
      <c r="G63" s="182"/>
      <c r="H63" s="182"/>
      <c r="I63" s="176"/>
      <c r="J63" s="182"/>
      <c r="K63" s="182"/>
      <c r="L63" s="182"/>
      <c r="M63" s="176"/>
      <c r="N63" s="176"/>
      <c r="O63" s="176"/>
      <c r="P63" s="176"/>
      <c r="Q63" s="176"/>
      <c r="R63" s="176"/>
      <c r="S63" s="176"/>
      <c r="T63" s="176"/>
      <c r="U63" s="176"/>
    </row>
    <row r="64" spans="1:28">
      <c r="B64" s="250"/>
      <c r="C64" s="182"/>
      <c r="D64" s="182" t="s">
        <v>30</v>
      </c>
      <c r="E64" s="182"/>
      <c r="F64" s="182"/>
      <c r="G64" s="182"/>
      <c r="H64" s="182"/>
      <c r="I64" s="176"/>
      <c r="J64" s="182"/>
      <c r="K64" s="182"/>
      <c r="L64" s="182"/>
      <c r="M64" s="176"/>
      <c r="N64" s="176"/>
      <c r="O64" s="176"/>
      <c r="P64" s="176"/>
      <c r="Q64" s="176"/>
      <c r="R64" s="176"/>
      <c r="S64" s="176"/>
      <c r="T64" s="176"/>
      <c r="U64" s="176"/>
    </row>
    <row r="65" spans="2:21">
      <c r="B65" s="250"/>
      <c r="C65" s="182"/>
      <c r="D65" s="182" t="s">
        <v>30</v>
      </c>
      <c r="E65" s="182"/>
      <c r="F65" s="182"/>
      <c r="G65" s="182"/>
      <c r="H65" s="182"/>
      <c r="I65" s="176"/>
      <c r="J65" s="182"/>
      <c r="K65" s="182"/>
      <c r="L65" s="182"/>
      <c r="M65" s="176"/>
      <c r="N65" s="176"/>
      <c r="O65" s="176"/>
      <c r="P65" s="176"/>
      <c r="Q65" s="176"/>
      <c r="R65" s="176"/>
      <c r="S65" s="176"/>
      <c r="T65" s="176"/>
      <c r="U65" s="176"/>
    </row>
    <row r="66" spans="2:21">
      <c r="B66" s="250"/>
      <c r="C66" s="182"/>
      <c r="D66" s="182" t="s">
        <v>30</v>
      </c>
      <c r="E66" s="182"/>
      <c r="F66" s="182"/>
      <c r="G66" s="182"/>
      <c r="H66" s="182"/>
      <c r="I66" s="176"/>
      <c r="J66" s="182"/>
      <c r="K66" s="182"/>
      <c r="L66" s="182"/>
      <c r="M66" s="176"/>
      <c r="N66" s="176"/>
      <c r="O66" s="176"/>
      <c r="P66" s="176"/>
      <c r="Q66" s="176"/>
      <c r="R66" s="176"/>
      <c r="S66" s="176"/>
      <c r="T66" s="176"/>
      <c r="U66" s="176"/>
    </row>
    <row r="67" spans="2:21">
      <c r="B67" s="251"/>
      <c r="C67" s="176"/>
      <c r="D67" s="176" t="s">
        <v>168</v>
      </c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</row>
    <row r="68" spans="2:21">
      <c r="B68" s="251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</row>
    <row r="69" spans="2:21">
      <c r="B69" s="251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</row>
    <row r="70" spans="2:21">
      <c r="B70" s="251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</row>
    <row r="71" spans="2:21">
      <c r="B71" s="251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</row>
    <row r="72" spans="2:21">
      <c r="B72" s="251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</row>
    <row r="73" spans="2:21">
      <c r="B73" s="251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</row>
    <row r="74" spans="2:21">
      <c r="B74" s="251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</row>
    <row r="75" spans="2:21">
      <c r="B75" s="251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</row>
    <row r="76" spans="2:21">
      <c r="B76" s="251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</row>
    <row r="77" spans="2:21">
      <c r="B77" s="251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</row>
    <row r="78" spans="2:21">
      <c r="B78" s="251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</row>
    <row r="79" spans="2:21">
      <c r="B79" s="251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</row>
    <row r="80" spans="2:21">
      <c r="B80" s="251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</row>
    <row r="81" spans="2:21">
      <c r="B81" s="251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</row>
    <row r="82" spans="2:21">
      <c r="B82" s="251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</row>
    <row r="83" spans="2:21">
      <c r="B83" s="251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</row>
    <row r="84" spans="2:21">
      <c r="B84" s="251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</row>
    <row r="85" spans="2:21">
      <c r="B85" s="251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</row>
    <row r="86" spans="2:21">
      <c r="B86" s="251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</row>
    <row r="87" spans="2:21">
      <c r="B87" s="251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</row>
    <row r="88" spans="2:21">
      <c r="B88" s="25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</row>
    <row r="89" spans="2:21">
      <c r="B89" s="251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</row>
    <row r="90" spans="2:21">
      <c r="B90" s="251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</row>
    <row r="91" spans="2:21">
      <c r="B91" s="251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</row>
    <row r="92" spans="2:21">
      <c r="B92" s="251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</row>
    <row r="93" spans="2:21">
      <c r="B93" s="251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</row>
    <row r="94" spans="2:21">
      <c r="B94" s="251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</row>
    <row r="95" spans="2:21">
      <c r="B95" s="251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</row>
    <row r="96" spans="2:21">
      <c r="B96" s="251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</row>
    <row r="97" spans="2:21">
      <c r="B97" s="251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</row>
    <row r="98" spans="2:21">
      <c r="B98" s="251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</row>
    <row r="99" spans="2:21">
      <c r="B99" s="251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</row>
    <row r="100" spans="2:21">
      <c r="B100" s="251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</row>
    <row r="101" spans="2:21">
      <c r="B101" s="251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</row>
    <row r="102" spans="2:21">
      <c r="B102" s="251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</row>
    <row r="103" spans="2:21">
      <c r="B103" s="251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</row>
    <row r="104" spans="2:21">
      <c r="B104" s="251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</row>
    <row r="105" spans="2:21">
      <c r="B105" s="251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</row>
    <row r="106" spans="2:21">
      <c r="B106" s="251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</row>
    <row r="107" spans="2:21">
      <c r="B107" s="251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</row>
    <row r="108" spans="2:21">
      <c r="B108" s="251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</row>
    <row r="109" spans="2:21">
      <c r="B109" s="251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</row>
    <row r="110" spans="2:21">
      <c r="B110" s="251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</row>
    <row r="111" spans="2:21">
      <c r="B111" s="251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</row>
    <row r="112" spans="2:21">
      <c r="B112" s="251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</row>
    <row r="113" spans="2:21">
      <c r="B113" s="251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</row>
    <row r="114" spans="2:21">
      <c r="B114" s="251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</row>
    <row r="115" spans="2:21">
      <c r="B115" s="251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</row>
    <row r="116" spans="2:21">
      <c r="B116" s="251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</row>
    <row r="117" spans="2:21">
      <c r="B117" s="251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</row>
    <row r="118" spans="2:21">
      <c r="B118" s="251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</row>
    <row r="119" spans="2:21">
      <c r="B119" s="251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</row>
    <row r="120" spans="2:21">
      <c r="B120" s="251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</row>
    <row r="121" spans="2:21">
      <c r="B121" s="251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</row>
    <row r="122" spans="2:21">
      <c r="B122" s="251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</row>
    <row r="123" spans="2:21">
      <c r="B123" s="251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</row>
    <row r="124" spans="2:21">
      <c r="B124" s="251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</row>
    <row r="125" spans="2:21">
      <c r="B125" s="251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</row>
    <row r="126" spans="2:21">
      <c r="B126" s="251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</row>
  </sheetData>
  <mergeCells count="5">
    <mergeCell ref="A3:U3"/>
    <mergeCell ref="A4:U4"/>
    <mergeCell ref="A5:U5"/>
    <mergeCell ref="A8:U8"/>
    <mergeCell ref="D19:E19"/>
  </mergeCells>
  <printOptions horizontalCentered="1"/>
  <pageMargins left="0.41" right="0.23" top="1.75" bottom="0.33" header="1.25" footer="0.17"/>
  <pageSetup scale="50" orientation="landscape" r:id="rId1"/>
  <headerFooter alignWithMargins="0">
    <oddFooter>&amp;Z&amp;F&amp;RPage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0EA1-7B08-48EE-A8DB-8B132275D53B}">
  <sheetPr>
    <tabColor indexed="42"/>
    <pageSetUpPr fitToPage="1"/>
  </sheetPr>
  <dimension ref="A1:X119"/>
  <sheetViews>
    <sheetView topLeftCell="A15" zoomScale="70" zoomScaleNormal="70" workbookViewId="0">
      <selection activeCell="O9" sqref="O9"/>
    </sheetView>
  </sheetViews>
  <sheetFormatPr defaultColWidth="11.42578125" defaultRowHeight="15.6"/>
  <cols>
    <col min="1" max="1" width="4.140625" style="174" customWidth="1"/>
    <col min="2" max="2" width="5.85546875" style="214" bestFit="1" customWidth="1"/>
    <col min="3" max="3" width="2" style="174" customWidth="1"/>
    <col min="4" max="4" width="58.28515625" style="174" customWidth="1"/>
    <col min="5" max="5" width="24.28515625" style="174" customWidth="1"/>
    <col min="6" max="6" width="8.7109375" style="174" customWidth="1"/>
    <col min="7" max="7" width="24.28515625" style="174" customWidth="1"/>
    <col min="8" max="8" width="5" style="174" customWidth="1"/>
    <col min="9" max="9" width="32" style="174" customWidth="1"/>
    <col min="10" max="10" width="4.42578125" style="174" customWidth="1"/>
    <col min="11" max="11" width="32.28515625" style="174" customWidth="1"/>
    <col min="12" max="12" width="4.5703125" style="174" customWidth="1"/>
    <col min="13" max="13" width="32.7109375" style="174" customWidth="1"/>
    <col min="14" max="14" width="5.140625" style="174" customWidth="1"/>
    <col min="15" max="15" width="35.7109375" style="174" customWidth="1"/>
    <col min="16" max="16" width="4.28515625" style="174" customWidth="1"/>
    <col min="17" max="17" width="29.5703125" style="174" customWidth="1"/>
    <col min="18" max="18" width="2.7109375" style="174" customWidth="1"/>
    <col min="19" max="19" width="32.28515625" style="174" customWidth="1"/>
    <col min="20" max="20" width="18" style="174" bestFit="1" customWidth="1"/>
    <col min="21" max="16384" width="11.42578125" style="174"/>
  </cols>
  <sheetData>
    <row r="1" spans="1:24" ht="20.100000000000001">
      <c r="A1" s="252"/>
      <c r="B1" s="252"/>
      <c r="C1" s="252"/>
      <c r="D1" s="252"/>
      <c r="E1" s="252"/>
      <c r="F1" s="252"/>
      <c r="G1" s="252"/>
      <c r="H1" s="252"/>
      <c r="I1" s="253"/>
      <c r="J1" s="252"/>
      <c r="K1" s="252"/>
      <c r="L1" s="252"/>
      <c r="M1" s="253"/>
      <c r="N1" s="253"/>
      <c r="O1" s="253"/>
      <c r="P1" s="253"/>
      <c r="Q1" s="253"/>
      <c r="R1" s="253"/>
      <c r="S1" s="253"/>
      <c r="V1" s="254"/>
      <c r="X1" s="176" t="s">
        <v>30</v>
      </c>
    </row>
    <row r="2" spans="1:24" ht="20.100000000000001">
      <c r="A2" s="253"/>
      <c r="B2" s="255"/>
      <c r="C2" s="256"/>
      <c r="D2" s="256"/>
      <c r="E2" s="256"/>
      <c r="F2" s="256"/>
      <c r="G2" s="256"/>
      <c r="H2" s="256"/>
      <c r="I2" s="253"/>
      <c r="J2" s="256"/>
      <c r="K2" s="256"/>
      <c r="L2" s="256"/>
      <c r="M2" s="253"/>
      <c r="N2" s="253"/>
      <c r="O2" s="253"/>
      <c r="P2" s="253"/>
      <c r="Q2" s="253"/>
      <c r="R2" s="253"/>
      <c r="S2" s="253"/>
    </row>
    <row r="3" spans="1:24" ht="20.100000000000001">
      <c r="A3" s="360" t="s">
        <v>169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</row>
    <row r="4" spans="1:24" ht="20.100000000000001">
      <c r="A4" s="361" t="str">
        <f>"Forecasted Costs through December 31, 2026"</f>
        <v>Forecasted Costs through December 31, 2026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</row>
    <row r="5" spans="1:24" ht="20.100000000000001">
      <c r="A5" s="362" t="str">
        <f>"For rates effective January 1, 2026"</f>
        <v>For rates effective January 1, 2026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362"/>
      <c r="R5" s="362"/>
      <c r="S5" s="362"/>
      <c r="T5" s="189"/>
      <c r="U5" s="189"/>
    </row>
    <row r="6" spans="1:24" ht="20.100000000000001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</row>
    <row r="7" spans="1:24" ht="20.100000000000001">
      <c r="A7" s="257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3"/>
    </row>
    <row r="8" spans="1:24" ht="20.100000000000001">
      <c r="A8" s="363" t="s">
        <v>170</v>
      </c>
      <c r="B8" s="363"/>
      <c r="C8" s="363"/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253"/>
      <c r="T8" s="253"/>
    </row>
    <row r="9" spans="1:24" ht="20.100000000000001">
      <c r="A9" s="253"/>
      <c r="B9" s="258"/>
      <c r="C9" s="259"/>
      <c r="D9" s="260"/>
      <c r="E9" s="260"/>
      <c r="F9" s="253"/>
      <c r="G9" s="261"/>
      <c r="H9" s="260"/>
      <c r="I9" s="253"/>
      <c r="J9" s="260"/>
      <c r="K9" s="260"/>
      <c r="L9" s="260"/>
      <c r="M9" s="253"/>
      <c r="N9" s="253"/>
      <c r="O9" s="253"/>
      <c r="P9" s="253"/>
      <c r="Q9" s="253"/>
      <c r="R9" s="253"/>
      <c r="S9" s="253"/>
      <c r="T9" s="253"/>
    </row>
    <row r="10" spans="1:24" ht="60">
      <c r="A10" s="253"/>
      <c r="B10" s="258"/>
      <c r="C10" s="259"/>
      <c r="D10" s="260"/>
      <c r="E10" s="260"/>
      <c r="F10" s="262"/>
      <c r="G10" s="261"/>
      <c r="H10" s="260"/>
      <c r="I10" s="263" t="s">
        <v>171</v>
      </c>
      <c r="J10" s="264"/>
      <c r="K10" s="265" t="s">
        <v>172</v>
      </c>
      <c r="L10" s="266"/>
      <c r="M10" s="263" t="s">
        <v>173</v>
      </c>
      <c r="N10" s="267"/>
      <c r="O10" s="263" t="s">
        <v>174</v>
      </c>
      <c r="P10" s="267"/>
      <c r="Q10" s="263" t="s">
        <v>175</v>
      </c>
      <c r="R10" s="267"/>
      <c r="S10" s="263" t="s">
        <v>176</v>
      </c>
      <c r="T10" s="253"/>
    </row>
    <row r="11" spans="1:24" ht="20.100000000000001">
      <c r="A11" s="253"/>
      <c r="B11" s="258" t="s">
        <v>122</v>
      </c>
      <c r="C11" s="259"/>
      <c r="D11" s="260"/>
      <c r="E11" s="260"/>
      <c r="F11" s="260"/>
      <c r="G11" s="261"/>
      <c r="H11" s="260"/>
      <c r="I11" s="268" t="s">
        <v>177</v>
      </c>
      <c r="J11" s="260"/>
      <c r="K11" s="269" t="s">
        <v>177</v>
      </c>
      <c r="L11" s="269"/>
      <c r="M11" s="269" t="s">
        <v>177</v>
      </c>
      <c r="N11" s="253"/>
      <c r="O11" s="269" t="s">
        <v>177</v>
      </c>
      <c r="P11" s="253"/>
      <c r="Q11" s="269" t="s">
        <v>177</v>
      </c>
      <c r="R11" s="253"/>
      <c r="S11" s="269" t="s">
        <v>177</v>
      </c>
      <c r="T11" s="253"/>
    </row>
    <row r="12" spans="1:24" ht="20.45" thickBot="1">
      <c r="A12" s="253"/>
      <c r="B12" s="270" t="s">
        <v>124</v>
      </c>
      <c r="C12" s="259"/>
      <c r="D12" s="260"/>
      <c r="E12" s="259"/>
      <c r="F12" s="260"/>
      <c r="G12" s="260"/>
      <c r="H12" s="260"/>
      <c r="I12" s="268" t="s">
        <v>125</v>
      </c>
      <c r="J12" s="260"/>
      <c r="K12" s="268" t="s">
        <v>125</v>
      </c>
      <c r="L12" s="269"/>
      <c r="M12" s="268" t="s">
        <v>125</v>
      </c>
      <c r="N12" s="253"/>
      <c r="O12" s="268" t="s">
        <v>125</v>
      </c>
      <c r="P12" s="253"/>
      <c r="Q12" s="268" t="s">
        <v>125</v>
      </c>
      <c r="R12" s="253"/>
      <c r="S12" s="268" t="s">
        <v>125</v>
      </c>
      <c r="T12" s="253"/>
    </row>
    <row r="13" spans="1:24" ht="20.100000000000001">
      <c r="A13" s="253"/>
      <c r="B13" s="258"/>
      <c r="C13" s="259"/>
      <c r="D13" s="260"/>
      <c r="E13" s="259"/>
      <c r="F13" s="260"/>
      <c r="G13" s="260"/>
      <c r="H13" s="260"/>
      <c r="I13" s="253"/>
      <c r="J13" s="260"/>
      <c r="K13" s="253"/>
      <c r="L13" s="260"/>
      <c r="M13" s="253"/>
      <c r="N13" s="253"/>
      <c r="O13" s="253"/>
      <c r="P13" s="253"/>
      <c r="Q13" s="253"/>
      <c r="R13" s="253"/>
      <c r="S13" s="253"/>
      <c r="T13" s="253"/>
    </row>
    <row r="14" spans="1:24" ht="20.100000000000001">
      <c r="A14" s="268" t="s">
        <v>126</v>
      </c>
      <c r="B14" s="271" t="s">
        <v>127</v>
      </c>
      <c r="C14" s="259"/>
      <c r="D14" s="260"/>
      <c r="E14" s="259"/>
      <c r="F14" s="260"/>
      <c r="G14" s="260"/>
      <c r="H14" s="260"/>
      <c r="I14" s="253"/>
      <c r="J14" s="260"/>
      <c r="K14" s="253"/>
      <c r="L14" s="260"/>
      <c r="M14" s="253"/>
      <c r="N14" s="253"/>
      <c r="O14" s="253"/>
      <c r="P14" s="253"/>
      <c r="Q14" s="253"/>
      <c r="R14" s="253"/>
      <c r="S14" s="253"/>
      <c r="T14" s="253"/>
    </row>
    <row r="15" spans="1:24" ht="20.100000000000001">
      <c r="A15" s="268"/>
      <c r="B15" s="258">
        <v>1</v>
      </c>
      <c r="C15" s="259"/>
      <c r="D15" s="252" t="s">
        <v>128</v>
      </c>
      <c r="E15" s="259"/>
      <c r="F15" s="260"/>
      <c r="G15" s="259" t="s">
        <v>129</v>
      </c>
      <c r="H15" s="260"/>
      <c r="I15" s="272">
        <f>SUM(Q15,K15,S15,O15,M15,)</f>
        <v>2045195266.8022587</v>
      </c>
      <c r="J15" s="273"/>
      <c r="K15" s="274">
        <v>22200358.514273893</v>
      </c>
      <c r="L15" s="275"/>
      <c r="M15" s="274">
        <v>553894297.17740774</v>
      </c>
      <c r="N15" s="276"/>
      <c r="O15" s="274">
        <v>20234596.054935426</v>
      </c>
      <c r="P15" s="276"/>
      <c r="Q15" s="274">
        <v>1060516789.631901</v>
      </c>
      <c r="R15" s="276"/>
      <c r="S15" s="274">
        <v>388349225.42374063</v>
      </c>
      <c r="T15" s="253"/>
    </row>
    <row r="16" spans="1:24" ht="20.100000000000001">
      <c r="A16" s="268"/>
      <c r="B16" s="258"/>
      <c r="C16" s="259"/>
      <c r="D16" s="252"/>
      <c r="E16" s="259"/>
      <c r="F16" s="260"/>
      <c r="G16" s="260"/>
      <c r="H16" s="260"/>
      <c r="I16" s="272"/>
      <c r="J16" s="273"/>
      <c r="K16" s="276"/>
      <c r="L16" s="275"/>
      <c r="M16" s="276"/>
      <c r="N16" s="276"/>
      <c r="O16" s="276"/>
      <c r="P16" s="276"/>
      <c r="Q16" s="276"/>
      <c r="R16" s="276"/>
      <c r="S16" s="276"/>
      <c r="T16" s="253"/>
      <c r="U16" s="277"/>
    </row>
    <row r="17" spans="1:20" ht="20.100000000000001">
      <c r="A17" s="268"/>
      <c r="B17" s="258">
        <f>+B15+1</f>
        <v>2</v>
      </c>
      <c r="C17" s="259"/>
      <c r="D17" s="260" t="s">
        <v>130</v>
      </c>
      <c r="E17" s="259"/>
      <c r="F17" s="260"/>
      <c r="G17" s="259" t="s">
        <v>131</v>
      </c>
      <c r="H17" s="260"/>
      <c r="I17" s="272">
        <f>SUM(Q17,K17,S17,O17,M17,)</f>
        <v>22808916.274499997</v>
      </c>
      <c r="J17" s="273"/>
      <c r="K17" s="274">
        <v>0</v>
      </c>
      <c r="L17" s="275"/>
      <c r="M17" s="274">
        <v>2187425.088</v>
      </c>
      <c r="N17" s="276"/>
      <c r="O17" s="274">
        <v>416940.73199999979</v>
      </c>
      <c r="P17" s="276"/>
      <c r="Q17" s="274">
        <v>8015349.2360000014</v>
      </c>
      <c r="R17" s="276"/>
      <c r="S17" s="274">
        <v>12189201.218499998</v>
      </c>
      <c r="T17" s="253"/>
    </row>
    <row r="18" spans="1:20" ht="20.100000000000001">
      <c r="A18" s="268"/>
      <c r="B18" s="271"/>
      <c r="C18" s="259"/>
      <c r="D18" s="260"/>
      <c r="E18" s="259"/>
      <c r="F18" s="260"/>
      <c r="G18" s="260"/>
      <c r="H18" s="260"/>
      <c r="I18" s="278"/>
      <c r="J18" s="273"/>
      <c r="K18" s="278"/>
      <c r="L18" s="273"/>
      <c r="M18" s="278"/>
      <c r="N18" s="279"/>
      <c r="O18" s="278"/>
      <c r="P18" s="279"/>
      <c r="Q18" s="278"/>
      <c r="R18" s="279"/>
      <c r="S18" s="278"/>
      <c r="T18" s="253"/>
    </row>
    <row r="19" spans="1:20" ht="48.75" customHeight="1">
      <c r="A19" s="253"/>
      <c r="B19" s="258">
        <f>+B17+1</f>
        <v>3</v>
      </c>
      <c r="C19" s="259"/>
      <c r="D19" s="364" t="s">
        <v>178</v>
      </c>
      <c r="E19" s="364"/>
      <c r="F19" s="280"/>
      <c r="G19" s="259" t="s">
        <v>133</v>
      </c>
      <c r="H19" s="256"/>
      <c r="I19" s="279">
        <f>SUM(Q19,K19,S19,O19,M19,)</f>
        <v>2022386350.5277586</v>
      </c>
      <c r="J19" s="273"/>
      <c r="K19" s="273">
        <f>+K15-K17</f>
        <v>22200358.514273893</v>
      </c>
      <c r="L19" s="273"/>
      <c r="M19" s="273">
        <f>+M15-M17</f>
        <v>551706872.08940768</v>
      </c>
      <c r="N19" s="279"/>
      <c r="O19" s="273">
        <f>+O15-O17</f>
        <v>19817655.322935425</v>
      </c>
      <c r="P19" s="279"/>
      <c r="Q19" s="273">
        <f>+Q15-Q17</f>
        <v>1052501440.395901</v>
      </c>
      <c r="R19" s="279"/>
      <c r="S19" s="273">
        <f>+S15-S17</f>
        <v>376160024.20524061</v>
      </c>
      <c r="T19" s="253"/>
    </row>
    <row r="20" spans="1:20" ht="20.100000000000001">
      <c r="A20" s="253"/>
      <c r="B20" s="258"/>
      <c r="C20" s="259"/>
      <c r="D20" s="252"/>
      <c r="E20" s="260"/>
      <c r="F20" s="280"/>
      <c r="G20" s="256"/>
      <c r="H20" s="256"/>
      <c r="I20" s="279"/>
      <c r="J20" s="273"/>
      <c r="K20" s="273"/>
      <c r="L20" s="273"/>
      <c r="M20" s="273"/>
      <c r="N20" s="279"/>
      <c r="O20" s="273"/>
      <c r="P20" s="279"/>
      <c r="Q20" s="273"/>
      <c r="R20" s="279"/>
      <c r="S20" s="273"/>
      <c r="T20" s="253"/>
    </row>
    <row r="21" spans="1:20" ht="20.100000000000001">
      <c r="A21" s="253"/>
      <c r="B21" s="258">
        <f>+B19+1</f>
        <v>4</v>
      </c>
      <c r="C21" s="259"/>
      <c r="D21" s="252" t="s">
        <v>134</v>
      </c>
      <c r="E21" s="260"/>
      <c r="F21" s="280"/>
      <c r="G21" s="256"/>
      <c r="H21" s="256"/>
      <c r="I21" s="279"/>
      <c r="J21" s="273"/>
      <c r="K21" s="279"/>
      <c r="L21" s="273"/>
      <c r="M21" s="279"/>
      <c r="N21" s="279"/>
      <c r="O21" s="279"/>
      <c r="P21" s="279"/>
      <c r="Q21" s="279"/>
      <c r="R21" s="279"/>
      <c r="S21" s="279"/>
      <c r="T21" s="253"/>
    </row>
    <row r="22" spans="1:20" ht="20.100000000000001">
      <c r="A22" s="253"/>
      <c r="B22" s="258">
        <f>+B21+1</f>
        <v>5</v>
      </c>
      <c r="C22" s="259"/>
      <c r="D22" s="252" t="s">
        <v>179</v>
      </c>
      <c r="E22" s="260"/>
      <c r="F22" s="280"/>
      <c r="G22" s="259" t="s">
        <v>136</v>
      </c>
      <c r="H22" s="256"/>
      <c r="I22" s="279">
        <f>SUM(Q22,K22,S22,O22,M22,)</f>
        <v>138503505.30815387</v>
      </c>
      <c r="J22" s="273"/>
      <c r="K22" s="281">
        <v>0</v>
      </c>
      <c r="L22" s="282"/>
      <c r="M22" s="281">
        <v>47085000.845832519</v>
      </c>
      <c r="N22" s="276"/>
      <c r="O22" s="274">
        <v>4688439.5797545481</v>
      </c>
      <c r="P22" s="276"/>
      <c r="Q22" s="274">
        <v>39168368.132870525</v>
      </c>
      <c r="R22" s="276"/>
      <c r="S22" s="274">
        <v>47561696.749696277</v>
      </c>
      <c r="T22" s="253"/>
    </row>
    <row r="23" spans="1:20" ht="20.100000000000001">
      <c r="A23" s="253"/>
      <c r="B23" s="258">
        <f>+B22+1</f>
        <v>6</v>
      </c>
      <c r="C23" s="259"/>
      <c r="D23" s="252" t="s">
        <v>180</v>
      </c>
      <c r="E23" s="260"/>
      <c r="F23" s="280"/>
      <c r="G23" s="259" t="str">
        <f>"(Worksheet J)"</f>
        <v>(Worksheet J)</v>
      </c>
      <c r="H23" s="256"/>
      <c r="I23" s="278">
        <f>SUM(Q23,K23,S23,O23,M23,)</f>
        <v>0</v>
      </c>
      <c r="J23" s="273"/>
      <c r="K23" s="283">
        <v>0</v>
      </c>
      <c r="L23" s="284"/>
      <c r="M23" s="285">
        <v>0</v>
      </c>
      <c r="N23" s="279"/>
      <c r="O23" s="285">
        <v>0</v>
      </c>
      <c r="P23" s="279"/>
      <c r="Q23" s="285">
        <v>0</v>
      </c>
      <c r="R23" s="279"/>
      <c r="S23" s="283">
        <v>0</v>
      </c>
      <c r="T23" s="253"/>
    </row>
    <row r="24" spans="1:20" ht="20.100000000000001">
      <c r="A24" s="253"/>
      <c r="B24" s="258">
        <f>+B23+1</f>
        <v>7</v>
      </c>
      <c r="C24" s="259"/>
      <c r="D24" s="286" t="s">
        <v>138</v>
      </c>
      <c r="E24" s="260" t="s">
        <v>30</v>
      </c>
      <c r="F24" s="280"/>
      <c r="G24" s="256"/>
      <c r="H24" s="256"/>
      <c r="I24" s="284">
        <f>+I23+I22</f>
        <v>138503505.30815387</v>
      </c>
      <c r="J24" s="273"/>
      <c r="K24" s="287">
        <f>+K23+K22</f>
        <v>0</v>
      </c>
      <c r="L24" s="284"/>
      <c r="M24" s="284">
        <f>+M23+M22</f>
        <v>47085000.845832519</v>
      </c>
      <c r="N24" s="279"/>
      <c r="O24" s="284">
        <f>+O23+O22</f>
        <v>4688439.5797545481</v>
      </c>
      <c r="P24" s="279"/>
      <c r="Q24" s="284">
        <f>+Q23+Q22</f>
        <v>39168368.132870525</v>
      </c>
      <c r="R24" s="279"/>
      <c r="S24" s="287">
        <f>+S23+S22</f>
        <v>47561696.749696277</v>
      </c>
      <c r="T24" s="253"/>
    </row>
    <row r="25" spans="1:20" ht="20.100000000000001">
      <c r="A25" s="253"/>
      <c r="B25" s="258"/>
      <c r="C25" s="259"/>
      <c r="D25" s="252"/>
      <c r="E25" s="260"/>
      <c r="F25" s="280"/>
      <c r="G25" s="256"/>
      <c r="H25" s="256"/>
      <c r="I25" s="288"/>
      <c r="J25" s="273"/>
      <c r="K25" s="283"/>
      <c r="L25" s="284"/>
      <c r="M25" s="285"/>
      <c r="N25" s="279"/>
      <c r="O25" s="285"/>
      <c r="P25" s="279"/>
      <c r="Q25" s="285"/>
      <c r="R25" s="279"/>
      <c r="S25" s="283"/>
      <c r="T25" s="253"/>
    </row>
    <row r="26" spans="1:20" ht="20.100000000000001">
      <c r="A26" s="253"/>
      <c r="B26" s="258">
        <f>+B24+1</f>
        <v>8</v>
      </c>
      <c r="C26" s="259"/>
      <c r="D26" s="252" t="s">
        <v>181</v>
      </c>
      <c r="E26" s="260"/>
      <c r="F26" s="253"/>
      <c r="G26" s="280" t="str">
        <f>"(Ln "&amp;B19&amp;"- Ln "&amp;B24&amp;")"</f>
        <v>(Ln 3- Ln 7)</v>
      </c>
      <c r="H26" s="256"/>
      <c r="I26" s="279">
        <f>SUM(Q26,K26,S26,O26,M26,)</f>
        <v>1883882845.2196047</v>
      </c>
      <c r="J26" s="273"/>
      <c r="K26" s="287">
        <f>+K19-K24</f>
        <v>22200358.514273893</v>
      </c>
      <c r="L26" s="284"/>
      <c r="M26" s="284">
        <f>+M19-M24</f>
        <v>504621871.24357516</v>
      </c>
      <c r="N26" s="279"/>
      <c r="O26" s="284">
        <f>+O19-O24</f>
        <v>15129215.743180877</v>
      </c>
      <c r="P26" s="279"/>
      <c r="Q26" s="284">
        <f>+Q19-Q24</f>
        <v>1013333072.2630304</v>
      </c>
      <c r="R26" s="279"/>
      <c r="S26" s="287">
        <f>+S19-S24</f>
        <v>328598327.45554435</v>
      </c>
      <c r="T26" s="253"/>
    </row>
    <row r="27" spans="1:20" ht="20.100000000000001">
      <c r="A27" s="253"/>
      <c r="B27" s="253"/>
      <c r="C27" s="259"/>
      <c r="D27" s="253"/>
      <c r="E27" s="260"/>
      <c r="F27" s="253"/>
      <c r="G27" s="256"/>
      <c r="H27" s="256"/>
      <c r="I27" s="279"/>
      <c r="J27" s="273"/>
      <c r="K27" s="279"/>
      <c r="L27" s="279"/>
      <c r="M27" s="279"/>
      <c r="N27" s="279"/>
      <c r="O27" s="279"/>
      <c r="P27" s="279"/>
      <c r="Q27" s="279"/>
      <c r="R27" s="279"/>
      <c r="S27" s="279"/>
      <c r="T27" s="253"/>
    </row>
    <row r="28" spans="1:20" ht="20.100000000000001">
      <c r="A28" s="253"/>
      <c r="B28" s="258">
        <f>+B26+1</f>
        <v>9</v>
      </c>
      <c r="C28" s="259"/>
      <c r="D28" s="252" t="s">
        <v>182</v>
      </c>
      <c r="E28" s="260"/>
      <c r="F28" s="280"/>
      <c r="G28" s="259" t="str">
        <f>"(Worksheet J)"</f>
        <v>(Worksheet J)</v>
      </c>
      <c r="H28" s="256"/>
      <c r="I28" s="272">
        <f>SUM(Q28,K28,S28,O28,M28,)</f>
        <v>0</v>
      </c>
      <c r="J28" s="273"/>
      <c r="K28" s="289">
        <v>0</v>
      </c>
      <c r="L28" s="284"/>
      <c r="M28" s="290">
        <v>0</v>
      </c>
      <c r="N28" s="279"/>
      <c r="O28" s="290">
        <v>0</v>
      </c>
      <c r="P28" s="279"/>
      <c r="Q28" s="290">
        <v>0</v>
      </c>
      <c r="R28" s="279"/>
      <c r="S28" s="290">
        <v>0</v>
      </c>
      <c r="T28" s="253"/>
    </row>
    <row r="29" spans="1:20" ht="20.100000000000001">
      <c r="A29" s="253"/>
      <c r="B29" s="258"/>
      <c r="C29" s="259"/>
      <c r="D29" s="252"/>
      <c r="E29" s="260"/>
      <c r="F29" s="280"/>
      <c r="G29" s="256"/>
      <c r="H29" s="256"/>
      <c r="I29" s="288"/>
      <c r="J29" s="273"/>
      <c r="K29" s="283"/>
      <c r="L29" s="284"/>
      <c r="M29" s="285"/>
      <c r="N29" s="279"/>
      <c r="O29" s="285"/>
      <c r="P29" s="279"/>
      <c r="Q29" s="285"/>
      <c r="R29" s="279"/>
      <c r="S29" s="283"/>
      <c r="T29" s="253"/>
    </row>
    <row r="30" spans="1:20" ht="21" customHeight="1">
      <c r="A30" s="253"/>
      <c r="B30" s="258">
        <f>+B28+1</f>
        <v>10</v>
      </c>
      <c r="C30" s="259"/>
      <c r="D30" s="252" t="s">
        <v>183</v>
      </c>
      <c r="E30" s="260"/>
      <c r="F30" s="253"/>
      <c r="G30" s="280" t="str">
        <f>"(Ln "&amp;B26&amp;" + Ln "&amp;B28&amp;")"</f>
        <v>(Ln 8 + Ln 9)</v>
      </c>
      <c r="H30" s="256"/>
      <c r="I30" s="272">
        <f>+I26+I28</f>
        <v>1883882845.2196047</v>
      </c>
      <c r="J30" s="273"/>
      <c r="K30" s="287">
        <f>+K26+K28</f>
        <v>22200358.514273893</v>
      </c>
      <c r="L30" s="284"/>
      <c r="M30" s="284">
        <f>+M26+M28</f>
        <v>504621871.24357516</v>
      </c>
      <c r="N30" s="279"/>
      <c r="O30" s="284">
        <f>+O26+O28</f>
        <v>15129215.743180877</v>
      </c>
      <c r="P30" s="279"/>
      <c r="Q30" s="284">
        <f>+Q26+Q28</f>
        <v>1013333072.2630304</v>
      </c>
      <c r="R30" s="279"/>
      <c r="S30" s="287">
        <f>+S26+S28</f>
        <v>328598327.45554435</v>
      </c>
      <c r="T30" s="253"/>
    </row>
    <row r="31" spans="1:20" ht="20.100000000000001">
      <c r="A31" s="253"/>
      <c r="B31" s="291"/>
      <c r="C31" s="253"/>
      <c r="D31" s="253"/>
      <c r="E31" s="253"/>
      <c r="F31" s="253"/>
      <c r="G31" s="253"/>
      <c r="H31" s="253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53"/>
    </row>
    <row r="32" spans="1:20" ht="20.100000000000001">
      <c r="A32" s="253"/>
      <c r="B32" s="258">
        <f>+B30+1</f>
        <v>11</v>
      </c>
      <c r="C32" s="259"/>
      <c r="D32" s="252" t="s">
        <v>190</v>
      </c>
      <c r="E32" s="260"/>
      <c r="F32" s="280"/>
      <c r="G32" s="280" t="s">
        <v>185</v>
      </c>
      <c r="H32" s="256"/>
      <c r="I32" s="279">
        <f>SUM(Q32,K32,S32,O32,M32,)</f>
        <v>-27004299.998696171</v>
      </c>
      <c r="J32" s="273"/>
      <c r="K32" s="292">
        <v>-2417515.9385443311</v>
      </c>
      <c r="L32" s="284"/>
      <c r="M32" s="272">
        <v>4106225.6936066872</v>
      </c>
      <c r="N32" s="279"/>
      <c r="O32" s="272">
        <v>-20634.503322875869</v>
      </c>
      <c r="P32" s="279"/>
      <c r="Q32" s="272">
        <v>-14470031.995418651</v>
      </c>
      <c r="R32" s="279"/>
      <c r="S32" s="292">
        <v>-14202343.255016997</v>
      </c>
      <c r="T32" s="253"/>
    </row>
    <row r="33" spans="1:21" ht="20.100000000000001">
      <c r="A33" s="253"/>
      <c r="B33" s="258"/>
      <c r="C33" s="259"/>
      <c r="D33" s="252"/>
      <c r="E33" s="260"/>
      <c r="F33" s="280"/>
      <c r="G33" s="280"/>
      <c r="H33" s="256"/>
      <c r="I33" s="279"/>
      <c r="J33" s="273"/>
      <c r="K33" s="292"/>
      <c r="L33" s="284"/>
      <c r="M33" s="272"/>
      <c r="N33" s="279"/>
      <c r="O33" s="272"/>
      <c r="P33" s="279"/>
      <c r="Q33" s="272"/>
      <c r="R33" s="279"/>
      <c r="S33" s="292"/>
      <c r="T33" s="253"/>
    </row>
    <row r="34" spans="1:21" ht="20.100000000000001">
      <c r="A34" s="253"/>
      <c r="B34" s="258" t="s">
        <v>145</v>
      </c>
      <c r="C34" s="259"/>
      <c r="D34" s="252" t="s">
        <v>146</v>
      </c>
      <c r="E34" s="260"/>
      <c r="F34" s="280"/>
      <c r="G34" s="280" t="s">
        <v>147</v>
      </c>
      <c r="H34" s="256"/>
      <c r="I34" s="279">
        <f>SUM(Q34,K34,S34,O34,M34,)</f>
        <v>7711417</v>
      </c>
      <c r="J34" s="273"/>
      <c r="K34" s="292"/>
      <c r="L34" s="284"/>
      <c r="M34" s="272"/>
      <c r="N34" s="279"/>
      <c r="O34" s="272"/>
      <c r="P34" s="279"/>
      <c r="Q34" s="272">
        <v>7711417</v>
      </c>
      <c r="R34" s="279"/>
      <c r="S34" s="292"/>
      <c r="T34" s="253"/>
    </row>
    <row r="35" spans="1:21" ht="20.45" thickBot="1">
      <c r="A35" s="253"/>
      <c r="B35" s="291"/>
      <c r="C35" s="253"/>
      <c r="D35" s="253"/>
      <c r="E35" s="260"/>
      <c r="F35" s="280"/>
      <c r="G35" s="256"/>
      <c r="H35" s="256"/>
      <c r="I35" s="272"/>
      <c r="J35" s="273"/>
      <c r="K35" s="287"/>
      <c r="L35" s="293"/>
      <c r="M35" s="284"/>
      <c r="N35" s="279"/>
      <c r="O35" s="284"/>
      <c r="P35" s="279"/>
      <c r="Q35" s="284"/>
      <c r="R35" s="279"/>
      <c r="S35" s="287"/>
      <c r="T35" s="253"/>
    </row>
    <row r="36" spans="1:21" ht="20.45" thickBot="1">
      <c r="A36" s="253"/>
      <c r="B36" s="258">
        <f>B32+1</f>
        <v>12</v>
      </c>
      <c r="C36" s="259"/>
      <c r="D36" s="294" t="s">
        <v>187</v>
      </c>
      <c r="E36" s="295"/>
      <c r="F36" s="296"/>
      <c r="G36" s="297" t="str">
        <f>"(Ln "&amp;B30&amp;" + Ln "&amp;B32&amp;" )"</f>
        <v>(Ln 10 + Ln 11 )</v>
      </c>
      <c r="H36" s="298"/>
      <c r="I36" s="299">
        <f>+I30+I32+I34</f>
        <v>1864589962.2209086</v>
      </c>
      <c r="J36" s="273"/>
      <c r="K36" s="299">
        <f>+K30+K32+K34</f>
        <v>19782842.575729564</v>
      </c>
      <c r="L36" s="273"/>
      <c r="M36" s="299">
        <f>+M30+M32+M34</f>
        <v>508728096.93718183</v>
      </c>
      <c r="N36" s="279"/>
      <c r="O36" s="299">
        <f>+O30+O32+O34</f>
        <v>15108581.239858001</v>
      </c>
      <c r="P36" s="279"/>
      <c r="Q36" s="299">
        <f>+Q30+Q32+Q34</f>
        <v>1006574457.2676117</v>
      </c>
      <c r="R36" s="279"/>
      <c r="S36" s="299">
        <f>+S30+S32+S34</f>
        <v>314395984.20052737</v>
      </c>
      <c r="T36" s="253"/>
    </row>
    <row r="37" spans="1:21" ht="20.100000000000001">
      <c r="A37" s="253"/>
      <c r="B37" s="258"/>
      <c r="C37" s="259"/>
      <c r="D37" s="252"/>
      <c r="E37" s="260"/>
      <c r="F37" s="253"/>
      <c r="G37" s="280"/>
      <c r="H37" s="256"/>
      <c r="I37" s="273"/>
      <c r="J37" s="256"/>
      <c r="K37" s="300"/>
      <c r="L37" s="300"/>
      <c r="M37" s="300"/>
      <c r="N37" s="300"/>
      <c r="O37" s="300"/>
      <c r="P37" s="300"/>
      <c r="Q37" s="300"/>
      <c r="R37" s="300"/>
      <c r="S37" s="300"/>
      <c r="T37" s="253"/>
    </row>
    <row r="38" spans="1:21" ht="20.100000000000001">
      <c r="A38" s="268" t="s">
        <v>157</v>
      </c>
      <c r="B38" s="271" t="s">
        <v>158</v>
      </c>
      <c r="C38" s="259"/>
      <c r="D38" s="260"/>
      <c r="E38" s="259"/>
      <c r="F38" s="260"/>
      <c r="G38" s="260"/>
      <c r="H38" s="260"/>
      <c r="I38" s="253"/>
      <c r="J38" s="260"/>
      <c r="K38" s="253"/>
      <c r="L38" s="260"/>
      <c r="M38" s="253"/>
      <c r="N38" s="253"/>
      <c r="O38" s="253"/>
      <c r="P38" s="253"/>
      <c r="Q38" s="253"/>
      <c r="R38" s="253"/>
      <c r="S38" s="253"/>
      <c r="T38" s="253"/>
    </row>
    <row r="39" spans="1:21" ht="20.100000000000001">
      <c r="A39" s="253"/>
      <c r="B39" s="258">
        <f>+B36+1</f>
        <v>13</v>
      </c>
      <c r="C39" s="259"/>
      <c r="D39" s="252" t="str">
        <f>""&amp;X1&amp;" AEP East Zone Network Service Peak Load (1 CP)"</f>
        <v xml:space="preserve">  AEP East Zone Network Service Peak Load (1 CP)</v>
      </c>
      <c r="E39" s="260"/>
      <c r="F39" s="280"/>
      <c r="G39" s="301"/>
      <c r="H39" s="256"/>
      <c r="I39" s="302">
        <v>23710.2</v>
      </c>
      <c r="J39" s="256" t="s">
        <v>77</v>
      </c>
      <c r="K39" s="273"/>
      <c r="L39" s="256"/>
      <c r="M39" s="273"/>
      <c r="N39" s="253"/>
      <c r="O39" s="273"/>
      <c r="P39" s="253"/>
      <c r="Q39" s="273"/>
      <c r="R39" s="253"/>
      <c r="S39" s="273"/>
      <c r="T39" s="253"/>
    </row>
    <row r="40" spans="1:21" ht="20.100000000000001">
      <c r="A40" s="253"/>
      <c r="B40" s="258">
        <f>+B39+1</f>
        <v>14</v>
      </c>
      <c r="C40" s="252"/>
      <c r="D40" s="252" t="str">
        <f>"Annual Point-to-Point Rate in $/MW - Year"</f>
        <v>Annual Point-to-Point Rate in $/MW - Year</v>
      </c>
      <c r="E40" s="252"/>
      <c r="F40" s="252"/>
      <c r="G40" s="303" t="str">
        <f>"(Ln "&amp;B36&amp;" / Ln "&amp;B39&amp;")"</f>
        <v>(Ln 12 / Ln 13)</v>
      </c>
      <c r="H40" s="252"/>
      <c r="I40" s="253">
        <f>ROUND(+I36/I39,4)</f>
        <v>78640.836500000005</v>
      </c>
      <c r="J40" s="252"/>
      <c r="K40" s="304"/>
      <c r="L40" s="252"/>
      <c r="M40" s="252"/>
      <c r="N40" s="252"/>
      <c r="O40" s="252"/>
      <c r="P40" s="252"/>
      <c r="Q40" s="305"/>
      <c r="R40" s="252"/>
      <c r="S40" s="304"/>
      <c r="T40" s="252"/>
      <c r="U40" s="173"/>
    </row>
    <row r="41" spans="1:21" ht="20.100000000000001">
      <c r="A41" s="253"/>
      <c r="B41" s="258">
        <f t="shared" ref="B41:B46" si="0">+B40+1</f>
        <v>15</v>
      </c>
      <c r="C41" s="252"/>
      <c r="D41" s="252" t="str">
        <f>"Monthly Point-to-Point Rate in $/MW - Month"</f>
        <v>Monthly Point-to-Point Rate in $/MW - Month</v>
      </c>
      <c r="E41" s="252"/>
      <c r="F41" s="252"/>
      <c r="G41" s="303" t="str">
        <f>"(Ln "&amp;$B$40&amp;" / 12)"</f>
        <v>(Ln 14 / 12)</v>
      </c>
      <c r="H41" s="252"/>
      <c r="I41" s="253">
        <f>ROUND(+I$40/12,4)</f>
        <v>6553.4030000000002</v>
      </c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173"/>
    </row>
    <row r="42" spans="1:21" ht="20.100000000000001">
      <c r="A42" s="253"/>
      <c r="B42" s="258">
        <f t="shared" si="0"/>
        <v>16</v>
      </c>
      <c r="C42" s="252"/>
      <c r="D42" s="252" t="str">
        <f>"Weekly Point-to-Point Rate in $/MW - Weekly"</f>
        <v>Weekly Point-to-Point Rate in $/MW - Weekly</v>
      </c>
      <c r="E42" s="252"/>
      <c r="F42" s="252"/>
      <c r="G42" s="303" t="str">
        <f>"(Ln "&amp;$B$40&amp;" / 52)"</f>
        <v>(Ln 14 / 52)</v>
      </c>
      <c r="H42" s="252"/>
      <c r="I42" s="253">
        <f>ROUND(+I40/52,4)</f>
        <v>1512.3237999999999</v>
      </c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173"/>
    </row>
    <row r="43" spans="1:21" ht="20.100000000000001">
      <c r="A43" s="253"/>
      <c r="B43" s="258">
        <f t="shared" si="0"/>
        <v>17</v>
      </c>
      <c r="C43" s="252"/>
      <c r="D43" s="252" t="str">
        <f>"Daily On-Peak Point-to-Point Rate in $/MW - Day"</f>
        <v>Daily On-Peak Point-to-Point Rate in $/MW - Day</v>
      </c>
      <c r="E43" s="252"/>
      <c r="F43" s="252"/>
      <c r="G43" s="303" t="str">
        <f>"(Ln "&amp;$B$40&amp;" / 260)"</f>
        <v>(Ln 14 / 260)</v>
      </c>
      <c r="H43" s="252"/>
      <c r="I43" s="253">
        <f>ROUND(+I40/260,4)</f>
        <v>302.46480000000003</v>
      </c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173"/>
    </row>
    <row r="44" spans="1:21" ht="20.100000000000001">
      <c r="A44" s="253"/>
      <c r="B44" s="258">
        <f t="shared" si="0"/>
        <v>18</v>
      </c>
      <c r="C44" s="252"/>
      <c r="D44" s="252" t="str">
        <f>"Daily Off-Peak Point-to-Point Rate in $/MW - Day"</f>
        <v>Daily Off-Peak Point-to-Point Rate in $/MW - Day</v>
      </c>
      <c r="E44" s="252"/>
      <c r="F44" s="252"/>
      <c r="G44" s="303" t="str">
        <f>"(Ln "&amp;$B$40&amp;" / 365)"</f>
        <v>(Ln 14 / 365)</v>
      </c>
      <c r="H44" s="252"/>
      <c r="I44" s="253">
        <f>ROUND(+I40/365,4)</f>
        <v>215.45429999999999</v>
      </c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173"/>
    </row>
    <row r="45" spans="1:21" ht="20.100000000000001">
      <c r="A45" s="253"/>
      <c r="B45" s="258">
        <f t="shared" si="0"/>
        <v>19</v>
      </c>
      <c r="C45" s="252"/>
      <c r="D45" s="252" t="str">
        <f>"Hourly On-Peak Point-to-Point Rate in $/MW - Hour"</f>
        <v>Hourly On-Peak Point-to-Point Rate in $/MW - Hour</v>
      </c>
      <c r="E45" s="252"/>
      <c r="F45" s="252"/>
      <c r="G45" s="303" t="str">
        <f>"(Ln "&amp;$B$40&amp;" / 4160)"</f>
        <v>(Ln 14 / 4160)</v>
      </c>
      <c r="H45" s="252"/>
      <c r="I45" s="253">
        <f>ROUND(+I40/4160,4)</f>
        <v>18.904</v>
      </c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173"/>
    </row>
    <row r="46" spans="1:21" ht="20.100000000000001">
      <c r="A46" s="253"/>
      <c r="B46" s="258">
        <f t="shared" si="0"/>
        <v>20</v>
      </c>
      <c r="C46" s="252"/>
      <c r="D46" s="252" t="str">
        <f>"Hourly Off-Peak Point-to-Point Rate in $/MW - Hour"</f>
        <v>Hourly Off-Peak Point-to-Point Rate in $/MW - Hour</v>
      </c>
      <c r="E46" s="252"/>
      <c r="F46" s="252"/>
      <c r="G46" s="303" t="str">
        <f>"(Ln "&amp;$B$40&amp;" / 8760)"</f>
        <v>(Ln 14 / 8760)</v>
      </c>
      <c r="H46" s="252"/>
      <c r="I46" s="253">
        <f>ROUND(+I40/8760,4)</f>
        <v>8.9772999999999996</v>
      </c>
      <c r="J46" s="252"/>
      <c r="K46" s="252"/>
      <c r="L46" s="252"/>
      <c r="M46" s="252"/>
      <c r="N46" s="252"/>
      <c r="P46" s="252"/>
      <c r="Q46" s="252"/>
      <c r="R46" s="252"/>
      <c r="S46" s="252"/>
      <c r="T46" s="252"/>
      <c r="U46" s="173"/>
    </row>
    <row r="47" spans="1:21" ht="20.100000000000001">
      <c r="A47" s="253"/>
      <c r="B47" s="291"/>
      <c r="C47" s="253"/>
      <c r="D47" s="253"/>
      <c r="E47" s="253"/>
      <c r="F47" s="253"/>
      <c r="G47" s="306"/>
      <c r="H47" s="256"/>
      <c r="I47" s="253"/>
      <c r="J47" s="256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173"/>
    </row>
    <row r="48" spans="1:21" ht="20.100000000000001">
      <c r="A48" s="268" t="s">
        <v>159</v>
      </c>
      <c r="B48" s="271" t="s">
        <v>160</v>
      </c>
      <c r="C48" s="259"/>
      <c r="D48" s="260"/>
      <c r="E48" s="259"/>
      <c r="F48" s="260"/>
      <c r="G48" s="259"/>
      <c r="H48" s="260"/>
      <c r="I48" s="253"/>
      <c r="J48" s="260"/>
      <c r="K48" s="253"/>
      <c r="L48" s="260"/>
      <c r="M48" s="253"/>
      <c r="N48" s="253"/>
      <c r="O48" s="253"/>
      <c r="P48" s="253"/>
      <c r="Q48" s="253"/>
      <c r="R48" s="253"/>
      <c r="S48" s="253"/>
      <c r="T48" s="253"/>
    </row>
    <row r="49" spans="1:23" ht="20.100000000000001">
      <c r="A49" s="253"/>
      <c r="B49" s="307">
        <f>+B46+1</f>
        <v>21</v>
      </c>
      <c r="C49" s="252"/>
      <c r="D49" s="252" t="str">
        <f>"RTEP UPGRADE PTRR W/O INCENTIVES"</f>
        <v>RTEP UPGRADE PTRR W/O INCENTIVES</v>
      </c>
      <c r="E49" s="253"/>
      <c r="F49" s="253"/>
      <c r="G49" s="280" t="str">
        <f>"(Ln "&amp;B24&amp;")"</f>
        <v>(Ln 7)</v>
      </c>
      <c r="H49" s="252"/>
      <c r="I49" s="308">
        <f t="shared" ref="I49:I51" si="1">SUM(Q49,K49,S49,O49,M49,)</f>
        <v>138503505.30815387</v>
      </c>
      <c r="J49" s="252"/>
      <c r="K49" s="309">
        <f>+K22</f>
        <v>0</v>
      </c>
      <c r="L49" s="252"/>
      <c r="M49" s="309">
        <f>+M22</f>
        <v>47085000.845832519</v>
      </c>
      <c r="N49" s="310"/>
      <c r="O49" s="309">
        <f>+O22</f>
        <v>4688439.5797545481</v>
      </c>
      <c r="P49" s="310"/>
      <c r="Q49" s="309">
        <f>+Q22</f>
        <v>39168368.132870525</v>
      </c>
      <c r="R49" s="310"/>
      <c r="S49" s="309">
        <f>+S22</f>
        <v>47561696.749696277</v>
      </c>
      <c r="T49" s="253"/>
    </row>
    <row r="50" spans="1:23" ht="20.100000000000001">
      <c r="A50" s="253"/>
      <c r="B50" s="307">
        <f>+B49+1</f>
        <v>22</v>
      </c>
      <c r="C50" s="252"/>
      <c r="D50" s="253" t="s">
        <v>161</v>
      </c>
      <c r="E50" s="253"/>
      <c r="F50" s="253"/>
      <c r="G50" s="301" t="str">
        <f>"(Worksheet J)"</f>
        <v>(Worksheet J)</v>
      </c>
      <c r="H50" s="252"/>
      <c r="I50" s="308">
        <f t="shared" si="1"/>
        <v>0</v>
      </c>
      <c r="J50" s="252"/>
      <c r="K50" s="311">
        <v>0</v>
      </c>
      <c r="L50" s="252"/>
      <c r="M50" s="305">
        <v>0</v>
      </c>
      <c r="N50" s="310"/>
      <c r="O50" s="305">
        <v>0</v>
      </c>
      <c r="P50" s="310"/>
      <c r="Q50" s="312">
        <v>0</v>
      </c>
      <c r="R50" s="310"/>
      <c r="S50" s="305">
        <v>0</v>
      </c>
      <c r="T50" s="253"/>
    </row>
    <row r="51" spans="1:23" ht="20.45" thickBot="1">
      <c r="A51" s="253"/>
      <c r="B51" s="307">
        <f>+B50+1</f>
        <v>23</v>
      </c>
      <c r="C51" s="252"/>
      <c r="D51" s="253" t="s">
        <v>162</v>
      </c>
      <c r="E51" s="253"/>
      <c r="F51" s="253"/>
      <c r="G51" s="280" t="s">
        <v>185</v>
      </c>
      <c r="H51" s="252"/>
      <c r="I51" s="308">
        <f t="shared" si="1"/>
        <v>-5249125.1630455572</v>
      </c>
      <c r="J51" s="252"/>
      <c r="K51" s="312">
        <v>0</v>
      </c>
      <c r="L51" s="252"/>
      <c r="M51" s="311">
        <v>-2996140.5138097038</v>
      </c>
      <c r="N51" s="308"/>
      <c r="O51" s="311">
        <v>152943.26331279834</v>
      </c>
      <c r="P51" s="308"/>
      <c r="Q51" s="311">
        <v>-1032443.4959956246</v>
      </c>
      <c r="R51" s="308"/>
      <c r="S51" s="311">
        <v>-1373484.416553027</v>
      </c>
      <c r="T51" s="310"/>
      <c r="U51" s="313"/>
      <c r="V51" s="176"/>
      <c r="W51" s="314"/>
    </row>
    <row r="52" spans="1:23" ht="20.45" thickBot="1">
      <c r="A52" s="253"/>
      <c r="B52" s="307">
        <f>+B51+1</f>
        <v>24</v>
      </c>
      <c r="C52" s="252"/>
      <c r="D52" s="315" t="s">
        <v>166</v>
      </c>
      <c r="E52" s="296"/>
      <c r="F52" s="296"/>
      <c r="G52" s="316"/>
      <c r="H52" s="316"/>
      <c r="I52" s="317">
        <f>+I49+I50+I51</f>
        <v>133254380.14510831</v>
      </c>
      <c r="J52" s="252"/>
      <c r="K52" s="318">
        <f>+K49+K50+K51</f>
        <v>0</v>
      </c>
      <c r="L52" s="252"/>
      <c r="M52" s="318">
        <f>+M49+M50+M51</f>
        <v>44088860.332022816</v>
      </c>
      <c r="N52" s="310"/>
      <c r="O52" s="318">
        <f>+O49+O50+O51</f>
        <v>4841382.8430673461</v>
      </c>
      <c r="P52" s="310"/>
      <c r="Q52" s="318">
        <f>+Q49+Q50+Q51</f>
        <v>38135924.636874899</v>
      </c>
      <c r="R52" s="310"/>
      <c r="S52" s="318">
        <f>+S49+S50+S51</f>
        <v>46188212.333143249</v>
      </c>
      <c r="T52" s="253"/>
    </row>
    <row r="53" spans="1:23" ht="20.100000000000001">
      <c r="A53" s="253"/>
      <c r="B53" s="319"/>
      <c r="C53" s="252"/>
      <c r="D53" s="252"/>
      <c r="E53" s="252"/>
      <c r="F53" s="252"/>
      <c r="G53" s="252"/>
      <c r="H53" s="252"/>
      <c r="I53" s="310"/>
      <c r="J53" s="252"/>
      <c r="K53" s="253"/>
      <c r="L53" s="252"/>
      <c r="M53" s="252"/>
      <c r="N53" s="310"/>
      <c r="O53" s="252"/>
      <c r="P53" s="310"/>
      <c r="Q53" s="252"/>
      <c r="R53" s="310"/>
      <c r="S53" s="252"/>
      <c r="T53" s="253"/>
    </row>
    <row r="54" spans="1:23" ht="17.45">
      <c r="A54" s="320"/>
      <c r="B54" s="321"/>
      <c r="C54" s="322"/>
      <c r="D54" s="322" t="s">
        <v>30</v>
      </c>
      <c r="E54" s="323" t="s">
        <v>30</v>
      </c>
      <c r="F54" s="322"/>
      <c r="G54" s="322"/>
      <c r="H54" s="322"/>
      <c r="I54" s="324"/>
      <c r="J54" s="322"/>
      <c r="K54" s="320"/>
      <c r="L54" s="322"/>
      <c r="M54" s="322"/>
      <c r="N54" s="324"/>
      <c r="O54" s="322"/>
      <c r="P54" s="324"/>
      <c r="Q54" s="322"/>
      <c r="R54" s="324"/>
      <c r="S54" s="322"/>
    </row>
    <row r="55" spans="1:23">
      <c r="B55" s="250"/>
      <c r="C55" s="182"/>
      <c r="D55" s="182"/>
      <c r="E55" s="182"/>
      <c r="F55" s="182"/>
      <c r="G55" s="182"/>
      <c r="H55" s="182"/>
      <c r="I55" s="176"/>
      <c r="J55" s="182"/>
      <c r="K55" s="182"/>
      <c r="L55" s="182"/>
      <c r="M55" s="182"/>
      <c r="N55" s="176"/>
      <c r="O55" s="176"/>
      <c r="P55" s="176"/>
      <c r="R55" s="176"/>
      <c r="S55" s="176"/>
    </row>
    <row r="56" spans="1:23">
      <c r="B56" s="250"/>
      <c r="C56" s="182"/>
      <c r="D56" s="182"/>
      <c r="E56" s="182"/>
      <c r="F56" s="182"/>
      <c r="G56" s="182"/>
      <c r="H56" s="182"/>
      <c r="I56" s="176"/>
      <c r="J56" s="182"/>
      <c r="K56" s="182"/>
      <c r="L56" s="182"/>
      <c r="M56" s="182"/>
      <c r="N56" s="176"/>
      <c r="O56" s="176"/>
      <c r="P56" s="176"/>
      <c r="R56" s="176"/>
      <c r="S56" s="176"/>
    </row>
    <row r="57" spans="1:23">
      <c r="B57" s="250"/>
      <c r="C57" s="182"/>
      <c r="D57" s="182"/>
      <c r="E57" s="182"/>
      <c r="F57" s="182"/>
      <c r="G57" s="182"/>
      <c r="H57" s="182"/>
      <c r="I57" s="176"/>
      <c r="J57" s="182"/>
      <c r="K57" s="182"/>
      <c r="L57" s="182"/>
      <c r="M57" s="182"/>
      <c r="N57" s="176"/>
      <c r="P57" s="176"/>
      <c r="Q57" s="176"/>
      <c r="R57" s="176"/>
      <c r="S57" s="176"/>
    </row>
    <row r="58" spans="1:23">
      <c r="B58" s="250"/>
      <c r="C58" s="182"/>
      <c r="D58" s="182"/>
      <c r="E58" s="182"/>
      <c r="F58" s="182"/>
      <c r="G58" s="182"/>
      <c r="H58" s="182"/>
      <c r="I58" s="176"/>
      <c r="J58" s="182"/>
      <c r="K58" s="182"/>
      <c r="L58" s="182"/>
      <c r="M58" s="182"/>
      <c r="N58" s="176"/>
      <c r="P58" s="176"/>
      <c r="Q58" s="176"/>
      <c r="R58" s="176"/>
      <c r="S58" s="176"/>
    </row>
    <row r="59" spans="1:23">
      <c r="B59" s="250"/>
      <c r="C59" s="182"/>
      <c r="D59" s="182"/>
      <c r="E59" s="182"/>
      <c r="F59" s="182"/>
      <c r="G59" s="182"/>
      <c r="H59" s="182"/>
      <c r="I59" s="176"/>
      <c r="J59" s="182"/>
      <c r="K59" s="182"/>
      <c r="L59" s="182"/>
      <c r="M59" s="182"/>
      <c r="N59" s="176"/>
      <c r="P59" s="176"/>
      <c r="Q59" s="176"/>
      <c r="R59" s="176"/>
      <c r="S59" s="176"/>
    </row>
    <row r="60" spans="1:23">
      <c r="B60" s="251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P60" s="176"/>
      <c r="Q60" s="176"/>
      <c r="R60" s="176"/>
      <c r="S60" s="176"/>
    </row>
    <row r="61" spans="1:23">
      <c r="B61" s="251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P61" s="176"/>
      <c r="Q61" s="176"/>
      <c r="R61" s="176"/>
      <c r="S61" s="176"/>
    </row>
    <row r="62" spans="1:23">
      <c r="B62" s="251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P62" s="176"/>
      <c r="Q62" s="176"/>
      <c r="R62" s="176"/>
      <c r="S62" s="176"/>
    </row>
    <row r="63" spans="1:23">
      <c r="B63" s="251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P63" s="176"/>
      <c r="Q63" s="176"/>
      <c r="R63" s="176"/>
      <c r="S63" s="176"/>
    </row>
    <row r="64" spans="1:23">
      <c r="B64" s="251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P64" s="176"/>
      <c r="Q64" s="176"/>
      <c r="R64" s="176"/>
      <c r="S64" s="176"/>
    </row>
    <row r="65" spans="2:19">
      <c r="B65" s="251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</row>
    <row r="66" spans="2:19">
      <c r="B66" s="251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</row>
    <row r="67" spans="2:19">
      <c r="B67" s="251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</row>
    <row r="68" spans="2:19">
      <c r="B68" s="251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</row>
    <row r="69" spans="2:19">
      <c r="B69" s="251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</row>
    <row r="70" spans="2:19">
      <c r="B70" s="251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</row>
    <row r="71" spans="2:19">
      <c r="B71" s="251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</row>
    <row r="72" spans="2:19">
      <c r="B72" s="251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</row>
    <row r="73" spans="2:19">
      <c r="B73" s="251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</row>
    <row r="74" spans="2:19">
      <c r="B74" s="251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</row>
    <row r="75" spans="2:19">
      <c r="B75" s="251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</row>
    <row r="76" spans="2:19">
      <c r="B76" s="251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</row>
    <row r="77" spans="2:19">
      <c r="B77" s="251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</row>
    <row r="78" spans="2:19">
      <c r="B78" s="251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</row>
    <row r="79" spans="2:19">
      <c r="B79" s="251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</row>
    <row r="80" spans="2:19">
      <c r="B80" s="251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</row>
    <row r="81" spans="2:19">
      <c r="B81" s="251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</row>
    <row r="82" spans="2:19">
      <c r="B82" s="251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</row>
    <row r="83" spans="2:19">
      <c r="B83" s="251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</row>
    <row r="84" spans="2:19">
      <c r="B84" s="251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</row>
    <row r="85" spans="2:19">
      <c r="B85" s="251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</row>
    <row r="86" spans="2:19">
      <c r="B86" s="251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</row>
    <row r="87" spans="2:19">
      <c r="B87" s="251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</row>
    <row r="88" spans="2:19">
      <c r="B88" s="25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</row>
    <row r="89" spans="2:19">
      <c r="B89" s="251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</row>
    <row r="90" spans="2:19">
      <c r="B90" s="251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</row>
    <row r="91" spans="2:19">
      <c r="B91" s="251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</row>
    <row r="92" spans="2:19">
      <c r="B92" s="251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</row>
    <row r="93" spans="2:19">
      <c r="B93" s="251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</row>
    <row r="94" spans="2:19">
      <c r="B94" s="251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</row>
    <row r="95" spans="2:19">
      <c r="B95" s="251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</row>
    <row r="96" spans="2:19">
      <c r="B96" s="251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</row>
    <row r="97" spans="2:19">
      <c r="B97" s="251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</row>
    <row r="98" spans="2:19">
      <c r="B98" s="251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</row>
    <row r="99" spans="2:19">
      <c r="B99" s="251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</row>
    <row r="100" spans="2:19">
      <c r="B100" s="251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</row>
    <row r="101" spans="2:19">
      <c r="B101" s="251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</row>
    <row r="102" spans="2:19">
      <c r="B102" s="251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</row>
    <row r="103" spans="2:19">
      <c r="B103" s="251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</row>
    <row r="104" spans="2:19">
      <c r="B104" s="251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</row>
    <row r="105" spans="2:19">
      <c r="B105" s="251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</row>
    <row r="106" spans="2:19">
      <c r="B106" s="251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</row>
    <row r="107" spans="2:19">
      <c r="B107" s="251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</row>
    <row r="108" spans="2:19">
      <c r="B108" s="251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</row>
    <row r="109" spans="2:19">
      <c r="B109" s="251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</row>
    <row r="110" spans="2:19">
      <c r="B110" s="251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</row>
    <row r="111" spans="2:19">
      <c r="B111" s="251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</row>
    <row r="112" spans="2:19">
      <c r="B112" s="251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</row>
    <row r="113" spans="2:19">
      <c r="B113" s="251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</row>
    <row r="114" spans="2:19">
      <c r="B114" s="251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</row>
    <row r="115" spans="2:19">
      <c r="B115" s="251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</row>
    <row r="116" spans="2:19">
      <c r="B116" s="251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</row>
    <row r="117" spans="2:19">
      <c r="B117" s="251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</row>
    <row r="118" spans="2:19">
      <c r="B118" s="251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</row>
    <row r="119" spans="2:19">
      <c r="B119" s="251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</row>
  </sheetData>
  <mergeCells count="5">
    <mergeCell ref="A3:S3"/>
    <mergeCell ref="A4:S4"/>
    <mergeCell ref="A5:S5"/>
    <mergeCell ref="A8:R8"/>
    <mergeCell ref="D19:E19"/>
  </mergeCells>
  <printOptions horizontalCentered="1"/>
  <pageMargins left="0.41" right="0.23" top="1.75" bottom="0.33" header="1.25" footer="0.17"/>
  <pageSetup scale="38" orientation="landscape" r:id="rId1"/>
  <headerFooter alignWithMargins="0">
    <oddHeader>&amp;R&amp;18Transmission Service PTRR
Page 1 of 2</oddHeader>
    <oddFooter xml:space="preserve">&amp;C &amp;R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5E70E-153D-482C-A67D-F5DC25C71E93}">
  <dimension ref="A3:S38"/>
  <sheetViews>
    <sheetView workbookViewId="0">
      <selection activeCell="G45" sqref="G45"/>
    </sheetView>
  </sheetViews>
  <sheetFormatPr defaultColWidth="8.7109375" defaultRowHeight="14.45"/>
  <cols>
    <col min="1" max="1" width="14.140625" style="336" bestFit="1" customWidth="1"/>
    <col min="2" max="2" width="16.28515625" style="336" bestFit="1" customWidth="1"/>
    <col min="3" max="5" width="13.85546875" style="336" bestFit="1" customWidth="1"/>
    <col min="6" max="8" width="14.85546875" style="336" bestFit="1" customWidth="1"/>
    <col min="9" max="9" width="11.5703125" style="336" bestFit="1" customWidth="1"/>
    <col min="10" max="10" width="13.85546875" style="336" bestFit="1" customWidth="1"/>
    <col min="11" max="12" width="11.85546875" style="336" bestFit="1" customWidth="1"/>
    <col min="13" max="13" width="12.7109375" style="336" bestFit="1" customWidth="1"/>
    <col min="14" max="15" width="12.7109375" style="336" customWidth="1"/>
    <col min="16" max="16" width="8.7109375" style="336"/>
    <col min="17" max="17" width="12.140625" style="336" bestFit="1" customWidth="1"/>
    <col min="18" max="18" width="13.42578125" style="336" bestFit="1" customWidth="1"/>
    <col min="19" max="19" width="12.140625" style="336" bestFit="1" customWidth="1"/>
    <col min="20" max="16384" width="8.7109375" style="336"/>
  </cols>
  <sheetData>
    <row r="3" spans="1:19" hidden="1">
      <c r="A3" s="337" t="s">
        <v>191</v>
      </c>
      <c r="B3" s="337" t="s">
        <v>192</v>
      </c>
      <c r="C3" s="337"/>
      <c r="D3" s="337"/>
      <c r="E3" s="337"/>
      <c r="F3" s="337"/>
    </row>
    <row r="4" spans="1:19" hidden="1">
      <c r="A4" s="337"/>
      <c r="B4" s="337">
        <v>2026</v>
      </c>
      <c r="C4" s="337"/>
      <c r="D4" s="337"/>
      <c r="E4" s="337"/>
      <c r="F4" s="337" t="s">
        <v>193</v>
      </c>
    </row>
    <row r="5" spans="1:19" hidden="1">
      <c r="A5" s="337" t="s">
        <v>194</v>
      </c>
      <c r="B5" s="337">
        <v>1</v>
      </c>
      <c r="C5" s="337">
        <v>2</v>
      </c>
      <c r="D5" s="337">
        <v>3</v>
      </c>
      <c r="E5" s="337">
        <v>4</v>
      </c>
      <c r="F5" s="337"/>
    </row>
    <row r="6" spans="1:19" hidden="1">
      <c r="A6" s="337" t="s">
        <v>195</v>
      </c>
      <c r="B6" s="337">
        <v>-353014.03</v>
      </c>
      <c r="C6" s="337">
        <v>-269977.64999999997</v>
      </c>
      <c r="D6" s="337">
        <v>-208134.28</v>
      </c>
      <c r="E6" s="337">
        <v>-230774.11999999988</v>
      </c>
      <c r="F6" s="337">
        <v>-1061900.0799999998</v>
      </c>
      <c r="G6" s="338">
        <f>-F6</f>
        <v>1061900.0799999998</v>
      </c>
      <c r="I6" s="339"/>
      <c r="J6" s="339"/>
      <c r="K6" s="339"/>
      <c r="L6" s="339"/>
      <c r="M6" s="339"/>
      <c r="N6" s="339"/>
      <c r="O6" s="339"/>
      <c r="Q6" s="339"/>
      <c r="R6" s="338"/>
      <c r="S6" s="338"/>
    </row>
    <row r="7" spans="1:19" hidden="1">
      <c r="A7" s="337" t="s">
        <v>196</v>
      </c>
      <c r="B7" s="337">
        <v>5299008.26</v>
      </c>
      <c r="C7" s="337">
        <v>4781707.78</v>
      </c>
      <c r="D7" s="337">
        <v>5299008.26</v>
      </c>
      <c r="E7" s="337">
        <v>5126574.7699999996</v>
      </c>
      <c r="F7" s="337">
        <v>20506299.07</v>
      </c>
      <c r="G7" s="338">
        <f t="shared" ref="G7:G9" si="0">-F7</f>
        <v>-20506299.07</v>
      </c>
      <c r="H7" s="339"/>
      <c r="I7" s="339"/>
      <c r="J7" s="339"/>
      <c r="K7" s="339"/>
      <c r="L7" s="339"/>
      <c r="M7" s="339"/>
      <c r="N7" s="339"/>
      <c r="O7" s="339"/>
      <c r="Q7" s="339"/>
      <c r="R7" s="338"/>
      <c r="S7" s="338"/>
    </row>
    <row r="8" spans="1:19" hidden="1">
      <c r="A8" s="337" t="s">
        <v>197</v>
      </c>
      <c r="B8" s="337">
        <v>13943.2</v>
      </c>
      <c r="C8" s="337">
        <v>12006.21</v>
      </c>
      <c r="D8" s="337">
        <v>10053.289999999999</v>
      </c>
      <c r="E8" s="337">
        <v>9008.7200000000012</v>
      </c>
      <c r="F8" s="337">
        <v>45011.42</v>
      </c>
      <c r="G8" s="338">
        <f t="shared" si="0"/>
        <v>-45011.42</v>
      </c>
      <c r="I8" s="339"/>
      <c r="J8" s="339"/>
      <c r="K8" s="339"/>
      <c r="L8" s="339"/>
      <c r="M8" s="339"/>
      <c r="N8" s="339"/>
      <c r="O8" s="339"/>
      <c r="Q8" s="339"/>
      <c r="R8" s="338"/>
      <c r="S8" s="338"/>
    </row>
    <row r="9" spans="1:19" hidden="1">
      <c r="A9" s="337" t="s">
        <v>198</v>
      </c>
      <c r="B9" s="337">
        <v>90734.98</v>
      </c>
      <c r="C9" s="337">
        <v>90734.98</v>
      </c>
      <c r="D9" s="337">
        <v>91494.44</v>
      </c>
      <c r="E9" s="337">
        <v>93013.359999999986</v>
      </c>
      <c r="F9" s="337">
        <v>365977.76</v>
      </c>
      <c r="G9" s="338">
        <f t="shared" si="0"/>
        <v>-365977.76</v>
      </c>
      <c r="I9" s="339"/>
      <c r="J9" s="339"/>
      <c r="K9" s="339"/>
      <c r="L9" s="339"/>
      <c r="M9" s="339"/>
      <c r="N9" s="339"/>
      <c r="O9" s="339"/>
      <c r="Q9" s="339"/>
      <c r="R9" s="338"/>
      <c r="S9" s="338"/>
    </row>
    <row r="10" spans="1:19" hidden="1">
      <c r="A10" s="337" t="s">
        <v>199</v>
      </c>
      <c r="B10" s="337">
        <v>232394.04000000004</v>
      </c>
      <c r="C10" s="337">
        <v>232597.11</v>
      </c>
      <c r="D10" s="337">
        <v>232712.60000000006</v>
      </c>
      <c r="E10" s="337">
        <v>232520.02000000002</v>
      </c>
      <c r="F10" s="337">
        <v>930223.77000000014</v>
      </c>
      <c r="G10" s="338">
        <f>F10</f>
        <v>930223.77000000014</v>
      </c>
      <c r="I10" s="339"/>
      <c r="J10" s="339"/>
      <c r="K10" s="339"/>
      <c r="L10" s="339"/>
      <c r="M10" s="339"/>
      <c r="N10" s="339"/>
      <c r="O10" s="339"/>
      <c r="Q10" s="339"/>
      <c r="R10" s="338"/>
      <c r="S10" s="338"/>
    </row>
    <row r="11" spans="1:19" hidden="1">
      <c r="A11" s="337" t="s">
        <v>200</v>
      </c>
      <c r="B11" s="337">
        <v>18125.510000000002</v>
      </c>
      <c r="C11" s="337">
        <v>15613.34</v>
      </c>
      <c r="D11" s="337">
        <v>13082.96</v>
      </c>
      <c r="E11" s="337">
        <v>11801.419999999998</v>
      </c>
      <c r="F11" s="337">
        <v>58623.23</v>
      </c>
      <c r="G11" s="338">
        <f t="shared" ref="G11:G14" si="1">F11</f>
        <v>58623.23</v>
      </c>
      <c r="I11" s="339"/>
      <c r="J11" s="339"/>
      <c r="K11" s="339"/>
      <c r="L11" s="339"/>
      <c r="M11" s="339"/>
      <c r="N11" s="339"/>
      <c r="O11" s="339"/>
      <c r="Q11" s="339"/>
      <c r="R11" s="338"/>
      <c r="S11" s="338"/>
    </row>
    <row r="12" spans="1:19" hidden="1">
      <c r="A12" s="337" t="s">
        <v>201</v>
      </c>
      <c r="B12" s="337">
        <v>6971809.3899999997</v>
      </c>
      <c r="C12" s="337">
        <v>6294369.1799999997</v>
      </c>
      <c r="D12" s="337">
        <v>6971809.3899999997</v>
      </c>
      <c r="E12" s="337">
        <v>6745995.9900000002</v>
      </c>
      <c r="F12" s="337">
        <v>26983983.950000003</v>
      </c>
      <c r="G12" s="338">
        <f t="shared" si="1"/>
        <v>26983983.950000003</v>
      </c>
      <c r="H12" s="339"/>
      <c r="I12" s="339"/>
      <c r="J12" s="339"/>
      <c r="K12" s="339"/>
      <c r="L12" s="339"/>
      <c r="M12" s="339"/>
      <c r="N12" s="339"/>
      <c r="O12" s="339"/>
      <c r="Q12" s="339"/>
      <c r="R12" s="338"/>
      <c r="S12" s="338"/>
    </row>
    <row r="13" spans="1:19" hidden="1">
      <c r="A13" s="337" t="s">
        <v>202</v>
      </c>
      <c r="B13" s="337">
        <v>366366.24</v>
      </c>
      <c r="C13" s="337">
        <v>366366.23</v>
      </c>
      <c r="D13" s="337">
        <v>366366.23</v>
      </c>
      <c r="E13" s="337">
        <v>366366.24</v>
      </c>
      <c r="F13" s="337">
        <v>1465464.94</v>
      </c>
      <c r="G13" s="338">
        <f t="shared" si="1"/>
        <v>1465464.94</v>
      </c>
      <c r="I13" s="339"/>
      <c r="J13" s="339"/>
      <c r="K13" s="339"/>
      <c r="L13" s="339"/>
      <c r="M13" s="339"/>
      <c r="N13" s="339"/>
      <c r="O13" s="339"/>
      <c r="Q13" s="339"/>
      <c r="R13" s="338"/>
      <c r="S13" s="338"/>
    </row>
    <row r="14" spans="1:19" hidden="1">
      <c r="A14" s="337" t="s">
        <v>203</v>
      </c>
      <c r="B14" s="337">
        <v>88797.23000000001</v>
      </c>
      <c r="C14" s="337">
        <v>87446.53</v>
      </c>
      <c r="D14" s="337">
        <v>88797.56</v>
      </c>
      <c r="E14" s="337">
        <v>88347.25</v>
      </c>
      <c r="F14" s="337">
        <v>353388.57</v>
      </c>
      <c r="G14" s="338">
        <f t="shared" si="1"/>
        <v>353388.57</v>
      </c>
      <c r="I14" s="339"/>
      <c r="J14" s="339"/>
      <c r="K14" s="339"/>
      <c r="L14" s="339"/>
      <c r="M14" s="339"/>
      <c r="N14" s="339"/>
      <c r="O14" s="339"/>
      <c r="Q14" s="339"/>
      <c r="S14" s="338"/>
    </row>
    <row r="15" spans="1:19" hidden="1">
      <c r="A15" s="337" t="s">
        <v>204</v>
      </c>
      <c r="B15" s="337">
        <v>12728164.82</v>
      </c>
      <c r="C15" s="337">
        <v>11610863.709999999</v>
      </c>
      <c r="D15" s="337">
        <v>12865190.450000001</v>
      </c>
      <c r="E15" s="337">
        <v>12442853.65</v>
      </c>
      <c r="F15" s="337">
        <v>49647072.630000003</v>
      </c>
      <c r="G15" s="339">
        <f>-SUM(G6:G9)+SUM(G10:G14)</f>
        <v>49647072.63000001</v>
      </c>
      <c r="L15" s="339"/>
      <c r="M15" s="339"/>
      <c r="N15" s="339"/>
      <c r="O15" s="339"/>
      <c r="S15" s="338"/>
    </row>
    <row r="16" spans="1:19" hidden="1">
      <c r="A16" s="337"/>
      <c r="B16" s="337"/>
      <c r="C16" s="337"/>
      <c r="D16" s="337"/>
      <c r="E16" s="337"/>
      <c r="F16" s="337"/>
    </row>
    <row r="17" spans="1:13">
      <c r="A17" s="337"/>
      <c r="B17" s="337"/>
      <c r="C17" s="337"/>
      <c r="D17" s="337"/>
      <c r="E17" s="337"/>
      <c r="F17" s="337"/>
    </row>
    <row r="18" spans="1:13">
      <c r="A18" s="337" t="s">
        <v>205</v>
      </c>
      <c r="F18" s="339"/>
    </row>
    <row r="20" spans="1:13">
      <c r="B20" s="336">
        <v>31</v>
      </c>
      <c r="C20" s="336">
        <v>28</v>
      </c>
      <c r="D20" s="336">
        <v>31</v>
      </c>
      <c r="E20" s="336">
        <v>30</v>
      </c>
      <c r="F20" s="339"/>
      <c r="G20" s="336">
        <f>SUM(B20:E20)</f>
        <v>120</v>
      </c>
      <c r="H20" s="336">
        <v>365</v>
      </c>
    </row>
    <row r="21" spans="1:13">
      <c r="B21" s="340" t="s">
        <v>206</v>
      </c>
      <c r="C21" s="340" t="s">
        <v>207</v>
      </c>
      <c r="D21" s="340" t="s">
        <v>208</v>
      </c>
      <c r="E21" s="340" t="s">
        <v>209</v>
      </c>
      <c r="F21" s="341" t="s">
        <v>210</v>
      </c>
      <c r="G21" s="340" t="s">
        <v>211</v>
      </c>
      <c r="H21" s="340" t="s">
        <v>205</v>
      </c>
    </row>
    <row r="22" spans="1:13">
      <c r="A22" s="337" t="s">
        <v>194</v>
      </c>
    </row>
    <row r="23" spans="1:13">
      <c r="A23" s="337" t="s">
        <v>195</v>
      </c>
      <c r="B23" s="338">
        <f>-B6</f>
        <v>353014.03</v>
      </c>
      <c r="C23" s="338">
        <f t="shared" ref="B23:E26" si="2">-C6</f>
        <v>269977.64999999997</v>
      </c>
      <c r="D23" s="338">
        <f t="shared" si="2"/>
        <v>208134.28</v>
      </c>
      <c r="E23" s="338">
        <f t="shared" si="2"/>
        <v>230774.11999999988</v>
      </c>
      <c r="F23" s="338">
        <f>SUM(B23:E23)</f>
        <v>1061900.0799999998</v>
      </c>
      <c r="G23" s="338">
        <f>F23/$G$20</f>
        <v>8849.1673333333329</v>
      </c>
      <c r="H23" s="338">
        <f>G23*$H$20</f>
        <v>3229946.0766666667</v>
      </c>
      <c r="I23" s="339"/>
      <c r="J23" s="339"/>
      <c r="K23" s="339"/>
      <c r="L23" s="339"/>
      <c r="M23" s="339"/>
    </row>
    <row r="24" spans="1:13">
      <c r="A24" s="337" t="s">
        <v>196</v>
      </c>
      <c r="B24" s="338">
        <f>-B7</f>
        <v>-5299008.26</v>
      </c>
      <c r="C24" s="338">
        <f t="shared" si="2"/>
        <v>-4781707.78</v>
      </c>
      <c r="D24" s="338">
        <f t="shared" si="2"/>
        <v>-5299008.26</v>
      </c>
      <c r="E24" s="338">
        <f t="shared" si="2"/>
        <v>-5126574.7699999996</v>
      </c>
      <c r="F24" s="338">
        <f t="shared" ref="F24:F26" si="3">SUM(B24:E24)</f>
        <v>-20506299.07</v>
      </c>
      <c r="G24" s="338">
        <f t="shared" ref="G24:G26" si="4">F24/$G$20</f>
        <v>-170885.82558333332</v>
      </c>
      <c r="H24" s="338">
        <f t="shared" ref="H24:H26" si="5">G24*$H$20</f>
        <v>-62373326.337916665</v>
      </c>
      <c r="I24" s="339"/>
      <c r="J24" s="339"/>
      <c r="K24" s="339"/>
      <c r="L24" s="339"/>
      <c r="M24" s="339"/>
    </row>
    <row r="25" spans="1:13">
      <c r="A25" s="337" t="s">
        <v>197</v>
      </c>
      <c r="B25" s="338">
        <f t="shared" si="2"/>
        <v>-13943.2</v>
      </c>
      <c r="C25" s="338">
        <f t="shared" si="2"/>
        <v>-12006.21</v>
      </c>
      <c r="D25" s="338">
        <f t="shared" si="2"/>
        <v>-10053.289999999999</v>
      </c>
      <c r="E25" s="338">
        <f t="shared" si="2"/>
        <v>-9008.7200000000012</v>
      </c>
      <c r="F25" s="338">
        <f t="shared" si="3"/>
        <v>-45011.42</v>
      </c>
      <c r="G25" s="338">
        <f t="shared" si="4"/>
        <v>-375.09516666666667</v>
      </c>
      <c r="H25" s="338">
        <f t="shared" si="5"/>
        <v>-136909.73583333334</v>
      </c>
      <c r="I25" s="339"/>
      <c r="J25" s="339"/>
      <c r="K25" s="339"/>
      <c r="L25" s="339"/>
      <c r="M25" s="339"/>
    </row>
    <row r="26" spans="1:13">
      <c r="A26" s="337" t="s">
        <v>198</v>
      </c>
      <c r="B26" s="342">
        <f t="shared" si="2"/>
        <v>-90734.98</v>
      </c>
      <c r="C26" s="342">
        <f t="shared" si="2"/>
        <v>-90734.98</v>
      </c>
      <c r="D26" s="342">
        <f t="shared" si="2"/>
        <v>-91494.44</v>
      </c>
      <c r="E26" s="342">
        <f t="shared" si="2"/>
        <v>-93013.359999999986</v>
      </c>
      <c r="F26" s="342">
        <f t="shared" si="3"/>
        <v>-365977.76</v>
      </c>
      <c r="G26" s="342">
        <f t="shared" si="4"/>
        <v>-3049.8146666666667</v>
      </c>
      <c r="H26" s="342">
        <f t="shared" si="5"/>
        <v>-1113182.3533333333</v>
      </c>
      <c r="I26" s="339"/>
      <c r="J26" s="339"/>
      <c r="K26" s="339"/>
      <c r="L26" s="339"/>
      <c r="M26" s="339"/>
    </row>
    <row r="27" spans="1:13">
      <c r="A27" s="337"/>
      <c r="B27" s="338">
        <f>SUM(B23:B26)</f>
        <v>-5050672.41</v>
      </c>
      <c r="C27" s="338">
        <f t="shared" ref="C27:H27" si="6">SUM(C23:C26)</f>
        <v>-4614471.32</v>
      </c>
      <c r="D27" s="338">
        <f t="shared" si="6"/>
        <v>-5192421.71</v>
      </c>
      <c r="E27" s="338">
        <f t="shared" si="6"/>
        <v>-4997822.7299999995</v>
      </c>
      <c r="F27" s="338">
        <f t="shared" si="6"/>
        <v>-19855388.170000006</v>
      </c>
      <c r="G27" s="338">
        <f t="shared" si="6"/>
        <v>-165461.56808333332</v>
      </c>
      <c r="H27" s="338">
        <f t="shared" si="6"/>
        <v>-60393472.35041666</v>
      </c>
      <c r="I27" s="339"/>
      <c r="J27" s="339"/>
      <c r="K27" s="339"/>
      <c r="L27" s="339"/>
      <c r="M27" s="339"/>
    </row>
    <row r="28" spans="1:13">
      <c r="A28" s="337"/>
      <c r="B28" s="338"/>
      <c r="C28" s="338"/>
      <c r="D28" s="338"/>
      <c r="E28" s="338"/>
      <c r="I28" s="339"/>
      <c r="J28" s="339"/>
      <c r="K28" s="339"/>
      <c r="L28" s="339"/>
      <c r="M28" s="339"/>
    </row>
    <row r="29" spans="1:13">
      <c r="A29" s="337" t="s">
        <v>199</v>
      </c>
      <c r="B29" s="338">
        <f>B10</f>
        <v>232394.04000000004</v>
      </c>
      <c r="C29" s="338">
        <f t="shared" ref="C29:E29" si="7">C10</f>
        <v>232597.11</v>
      </c>
      <c r="D29" s="338">
        <f t="shared" si="7"/>
        <v>232712.60000000006</v>
      </c>
      <c r="E29" s="338">
        <f t="shared" si="7"/>
        <v>232520.02000000002</v>
      </c>
      <c r="F29" s="338">
        <f>SUM(B29:E29)</f>
        <v>930223.77000000014</v>
      </c>
      <c r="G29" s="338">
        <f>F29/$G$20</f>
        <v>7751.8647500000015</v>
      </c>
      <c r="H29" s="338">
        <f t="shared" ref="H29:H33" si="8">G29*$H$20</f>
        <v>2829430.6337500005</v>
      </c>
      <c r="I29" s="339"/>
      <c r="J29" s="339"/>
      <c r="K29" s="339"/>
      <c r="L29" s="339"/>
      <c r="M29" s="339"/>
    </row>
    <row r="30" spans="1:13">
      <c r="A30" s="337" t="s">
        <v>200</v>
      </c>
      <c r="B30" s="338">
        <f t="shared" ref="B30:E33" si="9">B11</f>
        <v>18125.510000000002</v>
      </c>
      <c r="C30" s="338">
        <f t="shared" si="9"/>
        <v>15613.34</v>
      </c>
      <c r="D30" s="338">
        <f t="shared" si="9"/>
        <v>13082.96</v>
      </c>
      <c r="E30" s="338">
        <f t="shared" si="9"/>
        <v>11801.419999999998</v>
      </c>
      <c r="F30" s="338">
        <f t="shared" ref="F30:F33" si="10">SUM(B30:E30)</f>
        <v>58623.23</v>
      </c>
      <c r="G30" s="338">
        <f t="shared" ref="G30:G33" si="11">F30/$G$20</f>
        <v>488.52691666666669</v>
      </c>
      <c r="H30" s="338">
        <f t="shared" si="8"/>
        <v>178312.32458333333</v>
      </c>
      <c r="I30" s="339"/>
      <c r="J30" s="339"/>
      <c r="K30" s="339"/>
      <c r="L30" s="339"/>
      <c r="M30" s="339"/>
    </row>
    <row r="31" spans="1:13">
      <c r="A31" s="337" t="s">
        <v>201</v>
      </c>
      <c r="B31" s="338">
        <f t="shared" si="9"/>
        <v>6971809.3899999997</v>
      </c>
      <c r="C31" s="338">
        <f t="shared" si="9"/>
        <v>6294369.1799999997</v>
      </c>
      <c r="D31" s="338">
        <f t="shared" si="9"/>
        <v>6971809.3899999997</v>
      </c>
      <c r="E31" s="338">
        <f t="shared" si="9"/>
        <v>6745995.9900000002</v>
      </c>
      <c r="F31" s="338">
        <f t="shared" si="10"/>
        <v>26983983.950000003</v>
      </c>
      <c r="G31" s="338">
        <f t="shared" si="11"/>
        <v>224866.53291666668</v>
      </c>
      <c r="H31" s="338">
        <f t="shared" si="8"/>
        <v>82076284.514583334</v>
      </c>
      <c r="I31" s="339"/>
      <c r="J31" s="339"/>
      <c r="K31" s="339"/>
      <c r="L31" s="339"/>
      <c r="M31" s="339"/>
    </row>
    <row r="32" spans="1:13">
      <c r="A32" s="337" t="s">
        <v>202</v>
      </c>
      <c r="B32" s="338">
        <f t="shared" si="9"/>
        <v>366366.24</v>
      </c>
      <c r="C32" s="338">
        <f t="shared" si="9"/>
        <v>366366.23</v>
      </c>
      <c r="D32" s="338">
        <f t="shared" si="9"/>
        <v>366366.23</v>
      </c>
      <c r="E32" s="338">
        <f t="shared" si="9"/>
        <v>366366.24</v>
      </c>
      <c r="F32" s="338">
        <f t="shared" si="10"/>
        <v>1465464.94</v>
      </c>
      <c r="G32" s="338">
        <f t="shared" si="11"/>
        <v>12212.207833333332</v>
      </c>
      <c r="H32" s="338">
        <f t="shared" si="8"/>
        <v>4457455.8591666659</v>
      </c>
      <c r="I32" s="339"/>
      <c r="J32" s="339"/>
      <c r="K32" s="339"/>
      <c r="L32" s="339"/>
      <c r="M32" s="339"/>
    </row>
    <row r="33" spans="1:13">
      <c r="A33" s="337" t="s">
        <v>203</v>
      </c>
      <c r="B33" s="342">
        <f t="shared" si="9"/>
        <v>88797.23000000001</v>
      </c>
      <c r="C33" s="342">
        <f t="shared" si="9"/>
        <v>87446.53</v>
      </c>
      <c r="D33" s="342">
        <f t="shared" si="9"/>
        <v>88797.56</v>
      </c>
      <c r="E33" s="342">
        <f t="shared" si="9"/>
        <v>88347.25</v>
      </c>
      <c r="F33" s="342">
        <f t="shared" si="10"/>
        <v>353388.57</v>
      </c>
      <c r="G33" s="342">
        <f t="shared" si="11"/>
        <v>2944.9047500000001</v>
      </c>
      <c r="H33" s="342">
        <f t="shared" si="8"/>
        <v>1074890.2337500001</v>
      </c>
      <c r="I33" s="339"/>
      <c r="J33" s="339"/>
      <c r="K33" s="339"/>
      <c r="L33" s="339"/>
      <c r="M33" s="339"/>
    </row>
    <row r="34" spans="1:13">
      <c r="A34" s="337"/>
      <c r="B34" s="339">
        <f>SUM(B29:B33)</f>
        <v>7677492.4100000001</v>
      </c>
      <c r="C34" s="339">
        <f t="shared" ref="C34:H34" si="12">SUM(C29:C33)</f>
        <v>6996392.3899999997</v>
      </c>
      <c r="D34" s="339">
        <f t="shared" si="12"/>
        <v>7672768.7399999993</v>
      </c>
      <c r="E34" s="339">
        <f t="shared" si="12"/>
        <v>7445030.9200000009</v>
      </c>
      <c r="F34" s="339">
        <f t="shared" si="12"/>
        <v>29791684.460000005</v>
      </c>
      <c r="G34" s="339">
        <f t="shared" si="12"/>
        <v>248264.03716666665</v>
      </c>
      <c r="H34" s="339">
        <f t="shared" si="12"/>
        <v>90616373.56583333</v>
      </c>
      <c r="I34" s="339"/>
      <c r="L34" s="339"/>
      <c r="M34" s="339"/>
    </row>
    <row r="36" spans="1:13">
      <c r="B36" s="339">
        <f>-B27+B34</f>
        <v>12728164.82</v>
      </c>
      <c r="C36" s="339">
        <f t="shared" ref="C36:H36" si="13">-C27+C34</f>
        <v>11610863.710000001</v>
      </c>
      <c r="D36" s="339">
        <f t="shared" si="13"/>
        <v>12865190.449999999</v>
      </c>
      <c r="E36" s="339">
        <f t="shared" si="13"/>
        <v>12442853.65</v>
      </c>
      <c r="F36" s="339">
        <f t="shared" si="13"/>
        <v>49647072.63000001</v>
      </c>
      <c r="G36" s="339">
        <f t="shared" si="13"/>
        <v>413725.60524999996</v>
      </c>
      <c r="H36" s="339">
        <f t="shared" si="13"/>
        <v>151009845.91624999</v>
      </c>
    </row>
    <row r="38" spans="1:13">
      <c r="F38" s="3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zoomScale="80" zoomScaleNormal="80" workbookViewId="0">
      <selection activeCell="D38" sqref="D38"/>
    </sheetView>
  </sheetViews>
  <sheetFormatPr defaultColWidth="8.7109375" defaultRowHeight="15.6"/>
  <cols>
    <col min="1" max="1" width="8.85546875" style="73" bestFit="1" customWidth="1"/>
    <col min="2" max="2" width="9" style="73" bestFit="1" customWidth="1"/>
    <col min="3" max="3" width="34.85546875" style="73" customWidth="1"/>
    <col min="4" max="4" width="8.7109375" style="73"/>
    <col min="5" max="5" width="16.28515625" style="73" customWidth="1"/>
    <col min="6" max="6" width="3.85546875" style="73" customWidth="1"/>
    <col min="7" max="7" width="8.7109375" style="73"/>
    <col min="8" max="8" width="14.85546875" style="73" customWidth="1"/>
    <col min="9" max="9" width="13.5703125" style="73" customWidth="1"/>
    <col min="10" max="10" width="16.42578125" style="73" bestFit="1" customWidth="1"/>
    <col min="11" max="26" width="9.140625" style="73" customWidth="1"/>
    <col min="27" max="16384" width="8.7109375" style="73"/>
  </cols>
  <sheetData>
    <row r="1" spans="1:1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>
      <c r="A2" s="72"/>
      <c r="B2" s="345" t="s">
        <v>39</v>
      </c>
      <c r="C2" s="345"/>
      <c r="D2" s="345"/>
      <c r="E2" s="345"/>
      <c r="F2" s="345"/>
      <c r="G2" s="345"/>
      <c r="H2" s="345"/>
      <c r="I2" s="345"/>
      <c r="J2" s="72"/>
      <c r="K2" s="72"/>
    </row>
    <row r="3" spans="1:11">
      <c r="A3" s="72"/>
      <c r="B3" s="346" t="s">
        <v>40</v>
      </c>
      <c r="C3" s="346"/>
      <c r="D3" s="346"/>
      <c r="E3" s="346"/>
      <c r="F3" s="346"/>
      <c r="G3" s="346"/>
      <c r="H3" s="346"/>
      <c r="I3" s="346"/>
      <c r="J3" s="72"/>
      <c r="K3" s="72"/>
    </row>
    <row r="4" spans="1:11">
      <c r="A4" s="72"/>
      <c r="B4" s="348" t="s">
        <v>41</v>
      </c>
      <c r="C4" s="348"/>
      <c r="D4" s="348"/>
      <c r="E4" s="348"/>
      <c r="F4" s="348"/>
      <c r="G4" s="348"/>
      <c r="H4" s="348"/>
      <c r="I4" s="348"/>
      <c r="J4" s="72"/>
      <c r="K4" s="72"/>
    </row>
    <row r="7" spans="1:11" ht="81.75" customHeight="1">
      <c r="A7" s="74" t="s">
        <v>42</v>
      </c>
      <c r="B7" s="347" t="s">
        <v>43</v>
      </c>
      <c r="C7" s="347"/>
      <c r="D7" s="347"/>
      <c r="E7" s="74" t="s">
        <v>44</v>
      </c>
      <c r="F7" s="74"/>
      <c r="G7" s="74"/>
      <c r="H7" s="74" t="s">
        <v>45</v>
      </c>
      <c r="I7" s="74" t="s">
        <v>46</v>
      </c>
      <c r="J7" s="75" t="s">
        <v>47</v>
      </c>
      <c r="K7" s="72"/>
    </row>
    <row r="8" spans="1:11">
      <c r="A8" s="76"/>
      <c r="B8" s="76"/>
      <c r="C8" s="76"/>
      <c r="D8" s="72"/>
      <c r="E8" s="77"/>
      <c r="F8" s="77"/>
      <c r="G8" s="78"/>
      <c r="H8" s="78"/>
      <c r="I8" s="78"/>
      <c r="J8" s="79"/>
      <c r="K8" s="72"/>
    </row>
    <row r="9" spans="1:11">
      <c r="A9" s="72"/>
      <c r="B9" s="72"/>
      <c r="C9" s="72"/>
      <c r="D9" s="72"/>
      <c r="E9" s="80"/>
      <c r="F9" s="80"/>
      <c r="G9" s="72"/>
      <c r="H9" s="72"/>
      <c r="I9" s="72"/>
      <c r="J9" s="81"/>
      <c r="K9" s="72"/>
    </row>
    <row r="10" spans="1:11">
      <c r="A10" s="72"/>
      <c r="B10" s="82" t="s">
        <v>48</v>
      </c>
      <c r="C10" s="82"/>
      <c r="D10" s="72"/>
      <c r="H10" s="72"/>
      <c r="I10" s="72"/>
      <c r="J10" s="83"/>
      <c r="K10" s="72"/>
    </row>
    <row r="11" spans="1:11">
      <c r="A11" s="76">
        <v>1</v>
      </c>
      <c r="B11" s="73">
        <v>4561005</v>
      </c>
      <c r="C11" s="73" t="s">
        <v>49</v>
      </c>
      <c r="D11" s="72"/>
      <c r="E11" s="84">
        <f>'ADJ-Calc 2025'!F7</f>
        <v>163052.41539296508</v>
      </c>
      <c r="F11" s="84"/>
      <c r="H11" s="72" t="s">
        <v>50</v>
      </c>
      <c r="I11" s="85">
        <v>1</v>
      </c>
      <c r="J11" s="86">
        <f>E11</f>
        <v>163052.41539296508</v>
      </c>
      <c r="K11" s="87" t="s">
        <v>51</v>
      </c>
    </row>
    <row r="12" spans="1:11">
      <c r="A12" s="76">
        <v>2</v>
      </c>
      <c r="B12" s="73">
        <v>4561002</v>
      </c>
      <c r="C12" s="73" t="s">
        <v>19</v>
      </c>
      <c r="D12" s="72"/>
      <c r="E12" s="84">
        <f>'ADJ-Calc 2025'!F8</f>
        <v>0</v>
      </c>
      <c r="F12" s="84"/>
      <c r="H12" s="72" t="s">
        <v>50</v>
      </c>
      <c r="I12" s="85">
        <v>1</v>
      </c>
      <c r="J12" s="86">
        <f t="shared" ref="J12:J20" si="0">E12</f>
        <v>0</v>
      </c>
      <c r="K12" s="87" t="s">
        <v>52</v>
      </c>
    </row>
    <row r="13" spans="1:11">
      <c r="A13" s="76">
        <v>3</v>
      </c>
      <c r="B13" s="73">
        <v>4561035</v>
      </c>
      <c r="C13" s="73" t="s">
        <v>20</v>
      </c>
      <c r="D13" s="72"/>
      <c r="E13" s="84">
        <f>'ADJ-Calc 2025'!F9</f>
        <v>-4409387.1297123283</v>
      </c>
      <c r="F13" s="84"/>
      <c r="H13" s="72" t="s">
        <v>50</v>
      </c>
      <c r="I13" s="85">
        <v>1</v>
      </c>
      <c r="J13" s="86">
        <f t="shared" si="0"/>
        <v>-4409387.1297123283</v>
      </c>
      <c r="K13" s="87" t="s">
        <v>52</v>
      </c>
    </row>
    <row r="14" spans="1:11">
      <c r="A14" s="76">
        <v>4</v>
      </c>
      <c r="B14" s="73">
        <v>4561036</v>
      </c>
      <c r="C14" s="73" t="s">
        <v>21</v>
      </c>
      <c r="D14" s="72"/>
      <c r="E14" s="84">
        <f>'ADJ-Calc 2025'!F10</f>
        <v>0</v>
      </c>
      <c r="F14" s="84"/>
      <c r="G14" s="72"/>
      <c r="H14" s="72" t="s">
        <v>50</v>
      </c>
      <c r="I14" s="85">
        <v>1</v>
      </c>
      <c r="J14" s="86">
        <f t="shared" si="0"/>
        <v>0</v>
      </c>
      <c r="K14" s="87" t="s">
        <v>52</v>
      </c>
    </row>
    <row r="15" spans="1:11">
      <c r="A15" s="76">
        <v>5</v>
      </c>
      <c r="B15" s="73">
        <v>4561060</v>
      </c>
      <c r="C15" s="73" t="s">
        <v>22</v>
      </c>
      <c r="D15" s="72"/>
      <c r="E15" s="84">
        <f>'ADJ-Calc 2025'!F11</f>
        <v>-10517.531620631227</v>
      </c>
      <c r="F15" s="84"/>
      <c r="G15" s="72"/>
      <c r="H15" s="72" t="s">
        <v>50</v>
      </c>
      <c r="I15" s="85">
        <v>1</v>
      </c>
      <c r="J15" s="86">
        <f t="shared" si="0"/>
        <v>-10517.531620631227</v>
      </c>
      <c r="K15" s="87" t="s">
        <v>52</v>
      </c>
    </row>
    <row r="16" spans="1:11">
      <c r="A16" s="76">
        <v>6</v>
      </c>
      <c r="B16" s="88">
        <v>5650012</v>
      </c>
      <c r="C16" s="73" t="s">
        <v>24</v>
      </c>
      <c r="E16" s="84">
        <f>'ADJ-Calc 2025'!F14</f>
        <v>18050.429246815853</v>
      </c>
      <c r="F16" s="84"/>
      <c r="H16" s="72" t="s">
        <v>50</v>
      </c>
      <c r="I16" s="85">
        <v>1</v>
      </c>
      <c r="J16" s="86">
        <f t="shared" si="0"/>
        <v>18050.429246815853</v>
      </c>
      <c r="K16" s="87" t="s">
        <v>53</v>
      </c>
    </row>
    <row r="17" spans="1:11">
      <c r="A17" s="76">
        <v>7</v>
      </c>
      <c r="B17" s="88">
        <v>5650016</v>
      </c>
      <c r="C17" s="73" t="s">
        <v>25</v>
      </c>
      <c r="E17" s="84">
        <f>'ADJ-Calc 2025'!F15</f>
        <v>5588532.735658288</v>
      </c>
      <c r="F17" s="84"/>
      <c r="H17" s="72" t="s">
        <v>50</v>
      </c>
      <c r="I17" s="85">
        <v>1</v>
      </c>
      <c r="J17" s="86">
        <f t="shared" si="0"/>
        <v>5588532.735658288</v>
      </c>
      <c r="K17" s="87" t="s">
        <v>53</v>
      </c>
    </row>
    <row r="18" spans="1:11">
      <c r="A18" s="76">
        <v>8</v>
      </c>
      <c r="B18" s="88">
        <v>5650019</v>
      </c>
      <c r="C18" s="73" t="s">
        <v>26</v>
      </c>
      <c r="E18" s="84">
        <f>'ADJ-Calc 2025'!F16</f>
        <v>45649.302611813881</v>
      </c>
      <c r="F18" s="84"/>
      <c r="H18" s="72" t="s">
        <v>50</v>
      </c>
      <c r="I18" s="85">
        <v>1</v>
      </c>
      <c r="J18" s="86">
        <f t="shared" si="0"/>
        <v>45649.302611813881</v>
      </c>
      <c r="K18" s="87" t="s">
        <v>53</v>
      </c>
    </row>
    <row r="19" spans="1:11">
      <c r="A19" s="76">
        <v>9</v>
      </c>
      <c r="B19" s="73">
        <v>5650021</v>
      </c>
      <c r="C19" s="73" t="s">
        <v>27</v>
      </c>
      <c r="E19" s="84">
        <f>'ADJ-Calc 2025'!F17</f>
        <v>72787.890294696786</v>
      </c>
      <c r="F19" s="84"/>
      <c r="H19" s="72" t="s">
        <v>50</v>
      </c>
      <c r="I19" s="85">
        <v>1</v>
      </c>
      <c r="J19" s="86">
        <f t="shared" si="0"/>
        <v>72787.890294696786</v>
      </c>
      <c r="K19" s="87" t="s">
        <v>53</v>
      </c>
    </row>
    <row r="20" spans="1:11">
      <c r="A20" s="76">
        <v>10</v>
      </c>
      <c r="B20" s="73">
        <v>5650015</v>
      </c>
      <c r="C20" s="73" t="s">
        <v>28</v>
      </c>
      <c r="E20" s="84">
        <f>'ADJ-Calc 2025'!F18</f>
        <v>0</v>
      </c>
      <c r="F20" s="84"/>
      <c r="H20" s="72" t="s">
        <v>50</v>
      </c>
      <c r="I20" s="85">
        <v>1</v>
      </c>
      <c r="J20" s="83">
        <f t="shared" si="0"/>
        <v>0</v>
      </c>
      <c r="K20" s="87" t="s">
        <v>53</v>
      </c>
    </row>
    <row r="21" spans="1:11">
      <c r="B21" s="76"/>
      <c r="C21" s="72"/>
      <c r="E21" s="89">
        <f>SUM(E16:E20)-SUM(E11:E15)</f>
        <v>9981872.6037516091</v>
      </c>
      <c r="J21" s="89">
        <f>SUM(J16:J20)-SUM(J11:J15)</f>
        <v>9981872.6037516091</v>
      </c>
      <c r="K21" s="73" t="s">
        <v>54</v>
      </c>
    </row>
    <row r="22" spans="1:11">
      <c r="B22" s="76"/>
      <c r="C22" s="72"/>
      <c r="J22" s="89"/>
    </row>
    <row r="23" spans="1:11">
      <c r="B23" s="88"/>
    </row>
    <row r="24" spans="1:11" s="90" customFormat="1">
      <c r="A24" s="90" t="s">
        <v>55</v>
      </c>
      <c r="E24" s="91">
        <f>E21-'ADJ-Calc 2025'!F25</f>
        <v>0</v>
      </c>
    </row>
    <row r="28" spans="1:11">
      <c r="E28" s="92"/>
    </row>
    <row r="33" s="73" customFormat="1"/>
    <row r="34" s="73" customFormat="1"/>
    <row r="35" s="73" customFormat="1"/>
    <row r="36" s="73" customFormat="1"/>
    <row r="37" s="73" customFormat="1"/>
    <row r="38" s="73" customFormat="1"/>
    <row r="39" s="73" customFormat="1"/>
    <row r="40" s="73" customFormat="1"/>
    <row r="41" s="73" customFormat="1"/>
    <row r="42" s="73" customFormat="1"/>
    <row r="43" s="73" customFormat="1"/>
    <row r="44" s="73" customFormat="1"/>
    <row r="45" s="73" customFormat="1"/>
    <row r="46" s="73" customFormat="1"/>
    <row r="47" s="73" customFormat="1"/>
  </sheetData>
  <mergeCells count="4">
    <mergeCell ref="B2:I2"/>
    <mergeCell ref="B3:I3"/>
    <mergeCell ref="B7:D7"/>
    <mergeCell ref="B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zoomScale="110" zoomScaleNormal="110" workbookViewId="0">
      <selection activeCell="B33" sqref="B33"/>
    </sheetView>
  </sheetViews>
  <sheetFormatPr defaultColWidth="9.140625" defaultRowHeight="15.6"/>
  <cols>
    <col min="1" max="1" width="9.140625" style="90"/>
    <col min="2" max="2" width="48" style="90" bestFit="1" customWidth="1"/>
    <col min="3" max="3" width="19.7109375" style="90" customWidth="1"/>
    <col min="4" max="4" width="22.42578125" style="90" bestFit="1" customWidth="1"/>
    <col min="5" max="5" width="16.28515625" style="90" customWidth="1"/>
    <col min="6" max="6" width="22.7109375" style="90" bestFit="1" customWidth="1"/>
    <col min="7" max="7" width="9.140625" style="90"/>
    <col min="8" max="8" width="6" style="90" customWidth="1"/>
    <col min="9" max="16384" width="9.140625" style="90"/>
  </cols>
  <sheetData>
    <row r="1" spans="1:7">
      <c r="A1" s="90" t="s">
        <v>56</v>
      </c>
    </row>
    <row r="3" spans="1:7">
      <c r="C3" s="114" t="s">
        <v>57</v>
      </c>
    </row>
    <row r="5" spans="1:7">
      <c r="C5" s="146" t="s">
        <v>7</v>
      </c>
      <c r="D5" s="146" t="s">
        <v>58</v>
      </c>
      <c r="E5" s="147"/>
      <c r="F5" s="146" t="s">
        <v>59</v>
      </c>
    </row>
    <row r="6" spans="1:7">
      <c r="C6" s="148" t="s">
        <v>12</v>
      </c>
      <c r="D6" s="149" t="s">
        <v>13</v>
      </c>
      <c r="F6" s="150" t="s">
        <v>60</v>
      </c>
    </row>
    <row r="7" spans="1:7">
      <c r="A7" s="90">
        <v>4561005</v>
      </c>
      <c r="B7" s="90" t="s">
        <v>18</v>
      </c>
      <c r="C7" s="151">
        <v>2197348.27</v>
      </c>
      <c r="D7" s="151">
        <f>G7*-$D$28</f>
        <v>2360400.6853929651</v>
      </c>
      <c r="E7" s="91"/>
      <c r="F7" s="91">
        <f>D7-C7</f>
        <v>163052.41539296508</v>
      </c>
      <c r="G7" s="152">
        <f>-C7/$C$28</f>
        <v>-1.6457215132443508E-2</v>
      </c>
    </row>
    <row r="8" spans="1:7">
      <c r="A8" s="90">
        <v>4561002</v>
      </c>
      <c r="B8" s="90" t="s">
        <v>19</v>
      </c>
      <c r="C8" s="151">
        <v>0</v>
      </c>
      <c r="D8" s="151">
        <f>C8</f>
        <v>0</v>
      </c>
      <c r="E8" s="91"/>
      <c r="F8" s="91">
        <f>D8-C8</f>
        <v>0</v>
      </c>
    </row>
    <row r="9" spans="1:7">
      <c r="A9" s="90">
        <v>4561035</v>
      </c>
      <c r="B9" s="90" t="s">
        <v>20</v>
      </c>
      <c r="C9" s="151">
        <v>-59422359.109999999</v>
      </c>
      <c r="D9" s="151">
        <f>G9*-$D$28</f>
        <v>-63831746.239712328</v>
      </c>
      <c r="E9" s="91"/>
      <c r="F9" s="91">
        <f>D9-C9</f>
        <v>-4409387.1297123283</v>
      </c>
      <c r="G9" s="152">
        <f>-C9/$C$28</f>
        <v>0.44504849818394254</v>
      </c>
    </row>
    <row r="10" spans="1:7">
      <c r="A10" s="90">
        <v>4561036</v>
      </c>
      <c r="B10" s="90" t="s">
        <v>21</v>
      </c>
      <c r="C10" s="151">
        <v>-137135.82</v>
      </c>
      <c r="D10" s="151">
        <f>C10</f>
        <v>-137135.82</v>
      </c>
      <c r="E10" s="91"/>
      <c r="F10" s="91">
        <f>D10-C10</f>
        <v>0</v>
      </c>
      <c r="G10" s="153"/>
    </row>
    <row r="11" spans="1:7">
      <c r="A11" s="90">
        <v>4561060</v>
      </c>
      <c r="B11" s="90" t="s">
        <v>22</v>
      </c>
      <c r="C11" s="154">
        <v>-1198532.4100000001</v>
      </c>
      <c r="D11" s="154">
        <f>G11*-$D$29</f>
        <v>-1209049.9416206314</v>
      </c>
      <c r="E11" s="155"/>
      <c r="F11" s="155">
        <f>D11-C11</f>
        <v>-10517.531620631227</v>
      </c>
      <c r="G11" s="152">
        <f>-C11/$C$29</f>
        <v>0.14171273808243118</v>
      </c>
    </row>
    <row r="12" spans="1:7">
      <c r="A12" s="90" t="s">
        <v>23</v>
      </c>
      <c r="C12" s="151">
        <f>SUM(C7:C11)</f>
        <v>-58560679.069999993</v>
      </c>
      <c r="D12" s="151">
        <f>SUM(D7:D11)</f>
        <v>-62817531.315939993</v>
      </c>
      <c r="E12" s="91"/>
      <c r="F12" s="151">
        <f>SUM(F7:F11)</f>
        <v>-4256852.2459399942</v>
      </c>
      <c r="G12" s="90" t="s">
        <v>61</v>
      </c>
    </row>
    <row r="13" spans="1:7">
      <c r="C13" s="151"/>
      <c r="D13" s="151"/>
    </row>
    <row r="14" spans="1:7">
      <c r="A14" s="90">
        <v>5650012</v>
      </c>
      <c r="B14" s="90" t="s">
        <v>24</v>
      </c>
      <c r="C14" s="151">
        <v>2056948.8399999999</v>
      </c>
      <c r="D14" s="126">
        <f>G14*$D$29</f>
        <v>2074999.2692468157</v>
      </c>
      <c r="E14" s="91"/>
      <c r="F14" s="91">
        <f>D14-C14</f>
        <v>18050.429246815853</v>
      </c>
      <c r="G14" s="152">
        <f>C14/C29</f>
        <v>0.24321065478060838</v>
      </c>
    </row>
    <row r="15" spans="1:7">
      <c r="A15" s="90">
        <v>5650016</v>
      </c>
      <c r="B15" s="90" t="s">
        <v>25</v>
      </c>
      <c r="C15" s="151">
        <v>75312915.230000004</v>
      </c>
      <c r="D15" s="151">
        <f>G15*$D$28</f>
        <v>80901447.965658292</v>
      </c>
      <c r="E15" s="91"/>
      <c r="F15" s="91">
        <f>D15-C15</f>
        <v>5588532.735658288</v>
      </c>
      <c r="G15" s="152">
        <f>C15/$C$28</f>
        <v>0.56406208570277805</v>
      </c>
    </row>
    <row r="16" spans="1:7">
      <c r="A16" s="90">
        <v>5650019</v>
      </c>
      <c r="B16" s="90" t="s">
        <v>26</v>
      </c>
      <c r="C16" s="126">
        <v>5201997.07</v>
      </c>
      <c r="D16" s="151">
        <f>G16*$D$29</f>
        <v>5247646.3726118142</v>
      </c>
      <c r="E16" s="91"/>
      <c r="F16" s="91">
        <f>D16-C16</f>
        <v>45649.302611813881</v>
      </c>
      <c r="G16" s="152">
        <f>C16/$C$29</f>
        <v>0.61507660713696044</v>
      </c>
    </row>
    <row r="17" spans="1:7">
      <c r="A17" s="90">
        <v>5650021</v>
      </c>
      <c r="B17" s="90" t="s">
        <v>27</v>
      </c>
      <c r="C17" s="126">
        <v>980913.68</v>
      </c>
      <c r="D17" s="151">
        <f>G17*$D$28</f>
        <v>1053701.5702946968</v>
      </c>
      <c r="E17" s="91"/>
      <c r="F17" s="91">
        <f>D17-C17</f>
        <v>72787.890294696786</v>
      </c>
      <c r="G17" s="152">
        <f>C17/$C$28</f>
        <v>7.3466312457227591E-3</v>
      </c>
    </row>
    <row r="18" spans="1:7">
      <c r="A18" s="90">
        <v>5650015</v>
      </c>
      <c r="B18" s="90" t="s">
        <v>28</v>
      </c>
      <c r="C18" s="154">
        <v>167304.17000000001</v>
      </c>
      <c r="D18" s="154">
        <f>C18</f>
        <v>167304.17000000001</v>
      </c>
      <c r="E18" s="155"/>
      <c r="F18" s="155">
        <f>D18-C18</f>
        <v>0</v>
      </c>
      <c r="G18" s="156"/>
    </row>
    <row r="19" spans="1:7">
      <c r="A19" s="90" t="s">
        <v>29</v>
      </c>
      <c r="C19" s="151">
        <f>SUM(C14:C18)</f>
        <v>83720078.990000024</v>
      </c>
      <c r="D19" s="151">
        <f>SUM(D14:D18)</f>
        <v>89445099.347811624</v>
      </c>
      <c r="E19" s="91"/>
      <c r="F19" s="151">
        <f>SUM(F14:F18)</f>
        <v>5725020.3578116149</v>
      </c>
      <c r="G19" s="90" t="s">
        <v>62</v>
      </c>
    </row>
    <row r="20" spans="1:7">
      <c r="A20" s="90" t="s">
        <v>30</v>
      </c>
      <c r="C20" s="151"/>
      <c r="D20" s="151"/>
      <c r="E20" s="91"/>
      <c r="F20" s="91"/>
    </row>
    <row r="21" spans="1:7">
      <c r="A21" s="90" t="s">
        <v>31</v>
      </c>
      <c r="C21" s="151">
        <f>SUM(C14:C17)-SUM(C7:C9,C11)</f>
        <v>141976318.07000002</v>
      </c>
      <c r="D21" s="151">
        <f>SUM(D14:D17)-SUM(D7:D9,D11)</f>
        <v>151958190.67375162</v>
      </c>
      <c r="E21" s="151"/>
      <c r="F21" s="151">
        <f>SUM(F14:F17)-SUM(F7:F9,F11)</f>
        <v>9981872.6037516091</v>
      </c>
    </row>
    <row r="22" spans="1:7">
      <c r="A22" s="90" t="s">
        <v>32</v>
      </c>
      <c r="C22" s="154">
        <f>-C10+C18</f>
        <v>304439.99</v>
      </c>
      <c r="D22" s="154">
        <f>-D10+D18</f>
        <v>304439.99</v>
      </c>
      <c r="E22" s="154"/>
      <c r="F22" s="154">
        <f>-F10+F18</f>
        <v>0</v>
      </c>
    </row>
    <row r="23" spans="1:7">
      <c r="A23" s="90" t="s">
        <v>33</v>
      </c>
      <c r="C23" s="151">
        <f>C22+C21</f>
        <v>142280758.06000003</v>
      </c>
      <c r="D23" s="151">
        <f>D22+D21</f>
        <v>152262630.66375163</v>
      </c>
      <c r="E23" s="91"/>
      <c r="F23" s="151">
        <f>F19-F12</f>
        <v>9981872.6037516091</v>
      </c>
    </row>
    <row r="24" spans="1:7">
      <c r="F24" s="91"/>
    </row>
    <row r="25" spans="1:7">
      <c r="B25" s="90" t="s">
        <v>34</v>
      </c>
      <c r="C25" s="157">
        <f>-C12+C19</f>
        <v>142280758.06</v>
      </c>
      <c r="D25" s="91">
        <f>D23</f>
        <v>152262630.66375163</v>
      </c>
      <c r="F25" s="91">
        <f>D23-C23</f>
        <v>9981872.6037515998</v>
      </c>
    </row>
    <row r="26" spans="1:7">
      <c r="D26" s="91"/>
    </row>
    <row r="27" spans="1:7">
      <c r="C27" s="158" t="s">
        <v>7</v>
      </c>
      <c r="D27" s="159" t="s">
        <v>63</v>
      </c>
      <c r="F27" s="160" t="s">
        <v>64</v>
      </c>
    </row>
    <row r="28" spans="1:7">
      <c r="B28" s="90" t="s">
        <v>36</v>
      </c>
      <c r="C28" s="91">
        <f>-C9+C15+C17+-C7</f>
        <v>133518839.75000001</v>
      </c>
      <c r="D28" s="161">
        <f>'2025 Rates'!J17</f>
        <v>143426495.09027237</v>
      </c>
      <c r="F28" s="91">
        <f>D28-C28</f>
        <v>9907655.3402723521</v>
      </c>
    </row>
    <row r="29" spans="1:7">
      <c r="B29" s="147" t="s">
        <v>65</v>
      </c>
      <c r="C29" s="162">
        <f>-C11+C14+C16</f>
        <v>8457478.3200000003</v>
      </c>
      <c r="D29" s="162">
        <f>'2025 Rates'!I17</f>
        <v>8531695.583479261</v>
      </c>
      <c r="F29" s="155">
        <f>D29-C29</f>
        <v>74217.263479260728</v>
      </c>
    </row>
    <row r="30" spans="1:7">
      <c r="B30" s="90" t="s">
        <v>66</v>
      </c>
      <c r="C30" s="163">
        <f>SUM(C28:C29)</f>
        <v>141976318.07000002</v>
      </c>
      <c r="D30" s="163">
        <f>SUM(D28:D29)</f>
        <v>151958190.67375162</v>
      </c>
      <c r="F30" s="164">
        <f>F28+F29</f>
        <v>9981872.6037516128</v>
      </c>
    </row>
    <row r="31" spans="1:7">
      <c r="C31" s="165"/>
      <c r="D31" s="165"/>
      <c r="F31" s="164">
        <f>F25-F30</f>
        <v>0</v>
      </c>
    </row>
    <row r="32" spans="1:7">
      <c r="B32" s="90" t="s">
        <v>67</v>
      </c>
      <c r="C32" s="126">
        <f>-C10+C18</f>
        <v>304439.99</v>
      </c>
      <c r="D32" s="126">
        <f>-D10+D18</f>
        <v>304439.99</v>
      </c>
      <c r="F32" s="166">
        <f>D32-C32</f>
        <v>0</v>
      </c>
    </row>
    <row r="33" spans="2:6">
      <c r="C33" s="126"/>
      <c r="D33" s="167"/>
    </row>
    <row r="34" spans="2:6">
      <c r="C34" s="158" t="s">
        <v>7</v>
      </c>
      <c r="D34" s="159" t="s">
        <v>63</v>
      </c>
      <c r="F34" s="160" t="s">
        <v>64</v>
      </c>
    </row>
    <row r="35" spans="2:6">
      <c r="B35" s="90" t="s">
        <v>36</v>
      </c>
      <c r="C35" s="165">
        <f>C28</f>
        <v>133518839.75000001</v>
      </c>
      <c r="D35" s="165">
        <f>D28</f>
        <v>143426495.09027237</v>
      </c>
      <c r="F35" s="91">
        <f>D35-C35</f>
        <v>9907655.3402723521</v>
      </c>
    </row>
    <row r="36" spans="2:6">
      <c r="B36" s="90" t="s">
        <v>37</v>
      </c>
      <c r="C36" s="168">
        <f>C29+C32</f>
        <v>8761918.3100000005</v>
      </c>
      <c r="D36" s="168">
        <f>D29+D32</f>
        <v>8836135.5734792612</v>
      </c>
      <c r="F36" s="155">
        <f>D36-C36</f>
        <v>74217.263479260728</v>
      </c>
    </row>
    <row r="37" spans="2:6">
      <c r="C37" s="165">
        <f>SUM(C35:C36)</f>
        <v>142280758.06</v>
      </c>
      <c r="D37" s="165">
        <f>SUM(D35:D36)</f>
        <v>152262630.66375163</v>
      </c>
      <c r="F37" s="91">
        <f>SUM(F35:F36)</f>
        <v>9981872.6037516128</v>
      </c>
    </row>
    <row r="38" spans="2:6">
      <c r="C38" s="165"/>
      <c r="D38" s="165"/>
    </row>
    <row r="39" spans="2:6">
      <c r="C39" s="165"/>
      <c r="D39" s="165"/>
    </row>
    <row r="40" spans="2:6">
      <c r="C40" s="165"/>
      <c r="D40" s="165"/>
    </row>
    <row r="41" spans="2:6">
      <c r="C41" s="165"/>
      <c r="D41" s="165"/>
      <c r="E41" s="91"/>
      <c r="F41" s="91"/>
    </row>
  </sheetData>
  <pageMargins left="0.7" right="0.7" top="0.75" bottom="0.75" header="0.3" footer="0.3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520D-BDD8-42A2-8195-AE56951F09C3}">
  <dimension ref="A1:G41"/>
  <sheetViews>
    <sheetView zoomScale="90" zoomScaleNormal="90" workbookViewId="0">
      <selection activeCell="D28" sqref="D28"/>
    </sheetView>
  </sheetViews>
  <sheetFormatPr defaultColWidth="9.140625" defaultRowHeight="15.6"/>
  <cols>
    <col min="1" max="1" width="9.140625" style="90"/>
    <col min="2" max="2" width="48" style="90" bestFit="1" customWidth="1"/>
    <col min="3" max="3" width="19.7109375" style="90" customWidth="1"/>
    <col min="4" max="4" width="22.42578125" style="90" bestFit="1" customWidth="1"/>
    <col min="5" max="5" width="16.28515625" style="90" customWidth="1"/>
    <col min="6" max="6" width="22.7109375" style="90" bestFit="1" customWidth="1"/>
    <col min="7" max="7" width="9.140625" style="90"/>
    <col min="8" max="8" width="6" style="90" customWidth="1"/>
    <col min="9" max="16384" width="9.140625" style="90"/>
  </cols>
  <sheetData>
    <row r="1" spans="1:7">
      <c r="A1" s="90" t="s">
        <v>56</v>
      </c>
    </row>
    <row r="2" spans="1:7">
      <c r="A2" s="90" t="s">
        <v>68</v>
      </c>
    </row>
    <row r="3" spans="1:7">
      <c r="C3" s="114" t="s">
        <v>57</v>
      </c>
    </row>
    <row r="5" spans="1:7">
      <c r="C5" s="146" t="s">
        <v>7</v>
      </c>
      <c r="D5" s="146" t="s">
        <v>69</v>
      </c>
      <c r="E5" s="147"/>
      <c r="F5" s="146" t="s">
        <v>59</v>
      </c>
    </row>
    <row r="6" spans="1:7">
      <c r="C6" s="148" t="s">
        <v>12</v>
      </c>
      <c r="D6" s="149" t="s">
        <v>13</v>
      </c>
      <c r="F6" s="150" t="s">
        <v>60</v>
      </c>
    </row>
    <row r="7" spans="1:7">
      <c r="A7" s="90">
        <v>4561005</v>
      </c>
      <c r="B7" s="90" t="s">
        <v>18</v>
      </c>
      <c r="C7" s="151">
        <v>2197348.27</v>
      </c>
      <c r="D7" s="151">
        <f>G7*-$D$28</f>
        <v>2431770.1539955609</v>
      </c>
      <c r="E7" s="91"/>
      <c r="F7" s="91">
        <f>D7-C7</f>
        <v>234421.88399556093</v>
      </c>
      <c r="G7" s="152">
        <f>-C7/$C$28</f>
        <v>-1.6457215132443508E-2</v>
      </c>
    </row>
    <row r="8" spans="1:7">
      <c r="A8" s="90">
        <v>4561002</v>
      </c>
      <c r="B8" s="90" t="s">
        <v>19</v>
      </c>
      <c r="C8" s="151">
        <v>0</v>
      </c>
      <c r="D8" s="151">
        <f>C8</f>
        <v>0</v>
      </c>
      <c r="E8" s="91"/>
      <c r="F8" s="91">
        <f>D8-C8</f>
        <v>0</v>
      </c>
    </row>
    <row r="9" spans="1:7">
      <c r="A9" s="90">
        <v>4561035</v>
      </c>
      <c r="B9" s="90" t="s">
        <v>20</v>
      </c>
      <c r="C9" s="151">
        <v>-59422359.109999999</v>
      </c>
      <c r="D9" s="151">
        <f>G9*-$D$28</f>
        <v>-65761773.559775405</v>
      </c>
      <c r="E9" s="91"/>
      <c r="F9" s="91">
        <f>D9-C9</f>
        <v>-6339414.4497754052</v>
      </c>
      <c r="G9" s="152">
        <f>-C9/$C$28</f>
        <v>0.44504849818394254</v>
      </c>
    </row>
    <row r="10" spans="1:7">
      <c r="A10" s="90">
        <v>4561036</v>
      </c>
      <c r="B10" s="90" t="s">
        <v>21</v>
      </c>
      <c r="C10" s="151">
        <v>-137135.82</v>
      </c>
      <c r="D10" s="151">
        <f>C10</f>
        <v>-137135.82</v>
      </c>
      <c r="E10" s="91"/>
      <c r="F10" s="91">
        <f>D10-C10</f>
        <v>0</v>
      </c>
      <c r="G10" s="153"/>
    </row>
    <row r="11" spans="1:7">
      <c r="A11" s="90">
        <v>4561060</v>
      </c>
      <c r="B11" s="90" t="s">
        <v>22</v>
      </c>
      <c r="C11" s="154">
        <v>-1198532.4100000001</v>
      </c>
      <c r="D11" s="154">
        <f>G11*-$D$29</f>
        <v>-1142153.1721190009</v>
      </c>
      <c r="E11" s="155"/>
      <c r="F11" s="155">
        <f>D11-C11</f>
        <v>56379.237880999222</v>
      </c>
      <c r="G11" s="152">
        <f>-C11/$C$29</f>
        <v>0.14171273808243118</v>
      </c>
    </row>
    <row r="12" spans="1:7">
      <c r="A12" s="90" t="s">
        <v>23</v>
      </c>
      <c r="C12" s="151">
        <f>SUM(C7:C11)</f>
        <v>-58560679.069999993</v>
      </c>
      <c r="D12" s="151">
        <f>SUM(D7:D11)</f>
        <v>-64609292.397898845</v>
      </c>
      <c r="E12" s="91"/>
      <c r="F12" s="151">
        <f>SUM(F7:F11)</f>
        <v>-6048613.3278988451</v>
      </c>
      <c r="G12" s="90" t="s">
        <v>61</v>
      </c>
    </row>
    <row r="13" spans="1:7">
      <c r="C13" s="151"/>
      <c r="D13" s="151"/>
    </row>
    <row r="14" spans="1:7">
      <c r="A14" s="90">
        <v>5650012</v>
      </c>
      <c r="B14" s="90" t="s">
        <v>24</v>
      </c>
      <c r="C14" s="151">
        <v>2056948.8399999999</v>
      </c>
      <c r="D14" s="126">
        <f>G14*$D$29</f>
        <v>1960189.4974976096</v>
      </c>
      <c r="E14" s="91"/>
      <c r="F14" s="91">
        <f>D14-C14</f>
        <v>-96759.342502390267</v>
      </c>
      <c r="G14" s="152">
        <f>C14/C29</f>
        <v>0.24321065478060838</v>
      </c>
    </row>
    <row r="15" spans="1:7">
      <c r="A15" s="90">
        <v>5650016</v>
      </c>
      <c r="B15" s="90" t="s">
        <v>25</v>
      </c>
      <c r="C15" s="151">
        <v>75312915.230000004</v>
      </c>
      <c r="D15" s="151">
        <f>G15*$D$28</f>
        <v>83347597.632628232</v>
      </c>
      <c r="E15" s="91"/>
      <c r="F15" s="91">
        <f>D15-C15</f>
        <v>8034682.4026282281</v>
      </c>
      <c r="G15" s="152">
        <f>C15/$C$28</f>
        <v>0.56406208570277805</v>
      </c>
    </row>
    <row r="16" spans="1:7">
      <c r="A16" s="90">
        <v>5650019</v>
      </c>
      <c r="B16" s="90" t="s">
        <v>26</v>
      </c>
      <c r="C16" s="126">
        <v>5201997.07</v>
      </c>
      <c r="D16" s="151">
        <f>G16*$D$29</f>
        <v>4957293.9415582838</v>
      </c>
      <c r="E16" s="91"/>
      <c r="F16" s="91">
        <f>D16-C16</f>
        <v>-244703.12844171654</v>
      </c>
      <c r="G16" s="152">
        <f>C16/$C$29</f>
        <v>0.61507660713696044</v>
      </c>
    </row>
    <row r="17" spans="1:7">
      <c r="A17" s="90">
        <v>5650021</v>
      </c>
      <c r="B17" s="90" t="s">
        <v>27</v>
      </c>
      <c r="C17" s="126">
        <v>980913.68</v>
      </c>
      <c r="D17" s="151">
        <f>G17*$D$28</f>
        <v>1085561.4666262954</v>
      </c>
      <c r="E17" s="91"/>
      <c r="F17" s="91">
        <f>D17-C17</f>
        <v>104647.7866262953</v>
      </c>
      <c r="G17" s="152">
        <f>C17/$C$28</f>
        <v>7.3466312457227591E-3</v>
      </c>
    </row>
    <row r="18" spans="1:7">
      <c r="A18" s="90">
        <v>5650015</v>
      </c>
      <c r="B18" s="90" t="s">
        <v>28</v>
      </c>
      <c r="C18" s="154">
        <v>167304.17000000001</v>
      </c>
      <c r="D18" s="154">
        <f>C18</f>
        <v>167304.17000000001</v>
      </c>
      <c r="E18" s="155"/>
      <c r="F18" s="155">
        <f>D18-C18</f>
        <v>0</v>
      </c>
      <c r="G18" s="156"/>
    </row>
    <row r="19" spans="1:7">
      <c r="A19" s="90" t="s">
        <v>29</v>
      </c>
      <c r="C19" s="151">
        <f>SUM(C14:C18)</f>
        <v>83720078.990000024</v>
      </c>
      <c r="D19" s="151">
        <f>SUM(D14:D18)</f>
        <v>91517946.708310425</v>
      </c>
      <c r="E19" s="91"/>
      <c r="F19" s="151">
        <f>SUM(F14:F18)</f>
        <v>7797867.7183104167</v>
      </c>
      <c r="G19" s="90" t="s">
        <v>62</v>
      </c>
    </row>
    <row r="20" spans="1:7">
      <c r="A20" s="90" t="s">
        <v>30</v>
      </c>
      <c r="C20" s="151"/>
      <c r="D20" s="151"/>
      <c r="E20" s="91"/>
      <c r="F20" s="91"/>
    </row>
    <row r="21" spans="1:7">
      <c r="A21" s="90" t="s">
        <v>31</v>
      </c>
      <c r="C21" s="151">
        <f>SUM(C14:C17)-SUM(C7:C9,C11)</f>
        <v>141976318.07000002</v>
      </c>
      <c r="D21" s="151">
        <f>SUM(D14:D17)-SUM(D7:D9,D11)</f>
        <v>155822799.11620927</v>
      </c>
      <c r="E21" s="151"/>
      <c r="F21" s="151">
        <f>SUM(F14:F17)-SUM(F7:F9,F11)</f>
        <v>13846481.046209261</v>
      </c>
    </row>
    <row r="22" spans="1:7">
      <c r="A22" s="90" t="s">
        <v>32</v>
      </c>
      <c r="C22" s="154">
        <f>-C10+C18</f>
        <v>304439.99</v>
      </c>
      <c r="D22" s="154">
        <f>-D10+D18</f>
        <v>304439.99</v>
      </c>
      <c r="E22" s="154"/>
      <c r="F22" s="154">
        <f>-F10+F18</f>
        <v>0</v>
      </c>
    </row>
    <row r="23" spans="1:7">
      <c r="A23" s="90" t="s">
        <v>33</v>
      </c>
      <c r="C23" s="151">
        <f>C22+C21</f>
        <v>142280758.06000003</v>
      </c>
      <c r="D23" s="151">
        <f>D22+D21</f>
        <v>156127239.10620928</v>
      </c>
      <c r="E23" s="91"/>
      <c r="F23" s="151">
        <f>F19-F12</f>
        <v>13846481.046209261</v>
      </c>
    </row>
    <row r="24" spans="1:7">
      <c r="F24" s="91"/>
    </row>
    <row r="25" spans="1:7">
      <c r="B25" s="90" t="s">
        <v>34</v>
      </c>
      <c r="C25" s="157">
        <f>-C12+C19</f>
        <v>142280758.06</v>
      </c>
      <c r="D25" s="91">
        <f>D23</f>
        <v>156127239.10620928</v>
      </c>
      <c r="F25" s="91">
        <f>D23-C23</f>
        <v>13846481.046209246</v>
      </c>
    </row>
    <row r="26" spans="1:7">
      <c r="D26" s="91"/>
    </row>
    <row r="27" spans="1:7">
      <c r="C27" s="158" t="s">
        <v>7</v>
      </c>
      <c r="D27" s="159" t="s">
        <v>70</v>
      </c>
      <c r="F27" s="160" t="s">
        <v>64</v>
      </c>
    </row>
    <row r="28" spans="1:7">
      <c r="B28" s="90" t="s">
        <v>36</v>
      </c>
      <c r="C28" s="91">
        <f>-C9+C15+C17+-C7</f>
        <v>133518839.75000001</v>
      </c>
      <c r="D28" s="161">
        <f>'2026 Rates'!J17</f>
        <v>147763162.50503439</v>
      </c>
      <c r="F28" s="91">
        <f>D28-C28</f>
        <v>14244322.755034372</v>
      </c>
    </row>
    <row r="29" spans="1:7">
      <c r="B29" s="147" t="s">
        <v>65</v>
      </c>
      <c r="C29" s="162">
        <f>-C11+C14+C16</f>
        <v>8457478.3200000003</v>
      </c>
      <c r="D29" s="162">
        <f>'2026 Rates'!I17</f>
        <v>8059636.6111748945</v>
      </c>
      <c r="F29" s="155">
        <f>D29-C29</f>
        <v>-397841.7088251058</v>
      </c>
    </row>
    <row r="30" spans="1:7">
      <c r="B30" s="90" t="s">
        <v>66</v>
      </c>
      <c r="C30" s="163">
        <f>SUM(C28:C29)</f>
        <v>141976318.07000002</v>
      </c>
      <c r="D30" s="163">
        <f>SUM(D28:D29)</f>
        <v>155822799.11620927</v>
      </c>
      <c r="F30" s="164">
        <f>F28+F29</f>
        <v>13846481.046209266</v>
      </c>
    </row>
    <row r="31" spans="1:7">
      <c r="C31" s="165"/>
      <c r="D31" s="165"/>
      <c r="F31" s="164">
        <f>F25-F30</f>
        <v>-2.0489096641540527E-8</v>
      </c>
    </row>
    <row r="32" spans="1:7">
      <c r="B32" s="90" t="s">
        <v>67</v>
      </c>
      <c r="C32" s="126">
        <f>-C10+C18</f>
        <v>304439.99</v>
      </c>
      <c r="D32" s="126">
        <f>-D10+D18</f>
        <v>304439.99</v>
      </c>
      <c r="F32" s="166">
        <f>D32-C32</f>
        <v>0</v>
      </c>
    </row>
    <row r="33" spans="2:6">
      <c r="C33" s="126"/>
      <c r="D33" s="167"/>
    </row>
    <row r="34" spans="2:6">
      <c r="C34" s="158" t="s">
        <v>7</v>
      </c>
      <c r="D34" s="159" t="s">
        <v>70</v>
      </c>
      <c r="F34" s="160" t="s">
        <v>64</v>
      </c>
    </row>
    <row r="35" spans="2:6">
      <c r="B35" s="90" t="s">
        <v>36</v>
      </c>
      <c r="C35" s="165">
        <f>C28</f>
        <v>133518839.75000001</v>
      </c>
      <c r="D35" s="165">
        <f>D28</f>
        <v>147763162.50503439</v>
      </c>
      <c r="F35" s="91">
        <f>D35-C35</f>
        <v>14244322.755034372</v>
      </c>
    </row>
    <row r="36" spans="2:6">
      <c r="B36" s="90" t="s">
        <v>37</v>
      </c>
      <c r="C36" s="168">
        <f>C29+C32</f>
        <v>8761918.3100000005</v>
      </c>
      <c r="D36" s="168">
        <f>D29+D32</f>
        <v>8364076.6011748947</v>
      </c>
      <c r="F36" s="155">
        <f>D36-C36</f>
        <v>-397841.7088251058</v>
      </c>
    </row>
    <row r="37" spans="2:6">
      <c r="C37" s="165">
        <f>SUM(C35:C36)</f>
        <v>142280758.06</v>
      </c>
      <c r="D37" s="165">
        <f>SUM(D35:D36)</f>
        <v>156127239.10620928</v>
      </c>
      <c r="F37" s="91">
        <f>SUM(F35:F36)</f>
        <v>13846481.046209266</v>
      </c>
    </row>
    <row r="38" spans="2:6">
      <c r="C38" s="165"/>
      <c r="D38" s="165"/>
    </row>
    <row r="39" spans="2:6">
      <c r="C39" s="165"/>
      <c r="D39" s="165"/>
    </row>
    <row r="40" spans="2:6">
      <c r="C40" s="165"/>
      <c r="D40" s="165"/>
    </row>
    <row r="41" spans="2:6">
      <c r="C41" s="165"/>
      <c r="D41" s="165"/>
      <c r="E41" s="91"/>
      <c r="F41" s="91"/>
    </row>
  </sheetData>
  <pageMargins left="0.7" right="0.7" top="0.75" bottom="0.75" header="0.3" footer="0.3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1ED74-CC08-4497-A116-47EEFA9AFFE6}">
  <dimension ref="A1:G41"/>
  <sheetViews>
    <sheetView zoomScale="90" zoomScaleNormal="90" workbookViewId="0">
      <selection activeCell="D30" sqref="D30"/>
    </sheetView>
  </sheetViews>
  <sheetFormatPr defaultColWidth="9.140625" defaultRowHeight="15.6"/>
  <cols>
    <col min="1" max="1" width="9.140625" style="90"/>
    <col min="2" max="2" width="48" style="90" bestFit="1" customWidth="1"/>
    <col min="3" max="3" width="19.7109375" style="90" customWidth="1"/>
    <col min="4" max="4" width="22.42578125" style="90" bestFit="1" customWidth="1"/>
    <col min="5" max="5" width="16.28515625" style="90" customWidth="1"/>
    <col min="6" max="6" width="22.7109375" style="90" bestFit="1" customWidth="1"/>
    <col min="7" max="7" width="9.140625" style="90"/>
    <col min="8" max="8" width="6" style="90" customWidth="1"/>
    <col min="9" max="16384" width="9.140625" style="90"/>
  </cols>
  <sheetData>
    <row r="1" spans="1:7">
      <c r="A1" s="90" t="s">
        <v>56</v>
      </c>
    </row>
    <row r="2" spans="1:7">
      <c r="A2" s="90" t="s">
        <v>71</v>
      </c>
    </row>
    <row r="3" spans="1:7">
      <c r="C3" s="114" t="s">
        <v>57</v>
      </c>
    </row>
    <row r="5" spans="1:7">
      <c r="C5" s="146" t="s">
        <v>7</v>
      </c>
      <c r="D5" s="146" t="s">
        <v>69</v>
      </c>
      <c r="E5" s="147"/>
      <c r="F5" s="146" t="s">
        <v>59</v>
      </c>
    </row>
    <row r="6" spans="1:7">
      <c r="C6" s="148" t="s">
        <v>12</v>
      </c>
      <c r="D6" s="149" t="s">
        <v>13</v>
      </c>
      <c r="F6" s="150" t="s">
        <v>60</v>
      </c>
    </row>
    <row r="7" spans="1:7">
      <c r="A7" s="90">
        <v>4561005</v>
      </c>
      <c r="B7" s="90" t="s">
        <v>18</v>
      </c>
      <c r="C7" s="151">
        <v>2197348.27</v>
      </c>
      <c r="D7" s="151">
        <f>G7*-$D$28</f>
        <v>2392224.4751059809</v>
      </c>
      <c r="E7" s="91"/>
      <c r="F7" s="91">
        <f>D7-C7</f>
        <v>194876.20510598086</v>
      </c>
      <c r="G7" s="152">
        <f>-C7/$C$28</f>
        <v>-1.6457215132443508E-2</v>
      </c>
    </row>
    <row r="8" spans="1:7">
      <c r="A8" s="90">
        <v>4561002</v>
      </c>
      <c r="B8" s="90" t="s">
        <v>19</v>
      </c>
      <c r="C8" s="151">
        <v>0</v>
      </c>
      <c r="D8" s="151">
        <f>C8</f>
        <v>0</v>
      </c>
      <c r="E8" s="91"/>
      <c r="F8" s="91">
        <f>D8-C8</f>
        <v>0</v>
      </c>
    </row>
    <row r="9" spans="1:7">
      <c r="A9" s="90">
        <v>4561035</v>
      </c>
      <c r="B9" s="90" t="s">
        <v>20</v>
      </c>
      <c r="C9" s="151">
        <v>-59422359.109999999</v>
      </c>
      <c r="D9" s="151">
        <f>G9*-$D$28</f>
        <v>-64692349.306775495</v>
      </c>
      <c r="E9" s="91"/>
      <c r="F9" s="91">
        <f>D9-C9</f>
        <v>-5269990.196775496</v>
      </c>
      <c r="G9" s="152">
        <f>-C9/$C$28</f>
        <v>0.44504849818394254</v>
      </c>
    </row>
    <row r="10" spans="1:7">
      <c r="A10" s="90">
        <v>4561036</v>
      </c>
      <c r="B10" s="90" t="s">
        <v>21</v>
      </c>
      <c r="C10" s="151">
        <v>-137135.82</v>
      </c>
      <c r="D10" s="151">
        <f>C10</f>
        <v>-137135.82</v>
      </c>
      <c r="E10" s="91"/>
      <c r="F10" s="91">
        <f>D10-C10</f>
        <v>0</v>
      </c>
      <c r="G10" s="153"/>
    </row>
    <row r="11" spans="1:7">
      <c r="A11" s="90">
        <v>4561060</v>
      </c>
      <c r="B11" s="90" t="s">
        <v>22</v>
      </c>
      <c r="C11" s="154">
        <v>-1198532.4100000001</v>
      </c>
      <c r="D11" s="154">
        <f>G11*-$D$29</f>
        <v>-1142153.1721190009</v>
      </c>
      <c r="E11" s="155"/>
      <c r="F11" s="155">
        <f>D11-C11</f>
        <v>56379.237880999222</v>
      </c>
      <c r="G11" s="152">
        <f>-C11/$C$29</f>
        <v>0.14171273808243118</v>
      </c>
    </row>
    <row r="12" spans="1:7">
      <c r="A12" s="90" t="s">
        <v>23</v>
      </c>
      <c r="C12" s="151">
        <f>SUM(C7:C11)</f>
        <v>-58560679.069999993</v>
      </c>
      <c r="D12" s="151">
        <f>SUM(D7:D11)</f>
        <v>-63579413.823788516</v>
      </c>
      <c r="E12" s="91"/>
      <c r="F12" s="151">
        <f>SUM(F7:F11)</f>
        <v>-5018734.7537885159</v>
      </c>
      <c r="G12" s="90" t="s">
        <v>61</v>
      </c>
    </row>
    <row r="13" spans="1:7">
      <c r="C13" s="151"/>
      <c r="D13" s="151"/>
    </row>
    <row r="14" spans="1:7">
      <c r="A14" s="90">
        <v>5650012</v>
      </c>
      <c r="B14" s="90" t="s">
        <v>24</v>
      </c>
      <c r="C14" s="151">
        <v>2056948.8399999999</v>
      </c>
      <c r="D14" s="126">
        <f>G14*$D$29</f>
        <v>1960189.4974976096</v>
      </c>
      <c r="E14" s="91"/>
      <c r="F14" s="91">
        <f>D14-C14</f>
        <v>-96759.342502390267</v>
      </c>
      <c r="G14" s="152">
        <f>C14/C29</f>
        <v>0.24321065478060838</v>
      </c>
    </row>
    <row r="15" spans="1:7">
      <c r="A15" s="90">
        <v>5650016</v>
      </c>
      <c r="B15" s="90" t="s">
        <v>25</v>
      </c>
      <c r="C15" s="151">
        <v>75312915.230000004</v>
      </c>
      <c r="D15" s="151">
        <f>G15*$D$28</f>
        <v>81992191.026135311</v>
      </c>
      <c r="E15" s="91"/>
      <c r="F15" s="91">
        <f>D15-C15</f>
        <v>6679275.7961353064</v>
      </c>
      <c r="G15" s="152">
        <f>C15/$C$28</f>
        <v>0.56406208570277805</v>
      </c>
    </row>
    <row r="16" spans="1:7">
      <c r="A16" s="90">
        <v>5650019</v>
      </c>
      <c r="B16" s="90" t="s">
        <v>26</v>
      </c>
      <c r="C16" s="126">
        <v>5201997.07</v>
      </c>
      <c r="D16" s="151">
        <f>G16*$D$29</f>
        <v>4957293.9415582838</v>
      </c>
      <c r="E16" s="91"/>
      <c r="F16" s="91">
        <f>D16-C16</f>
        <v>-244703.12844171654</v>
      </c>
      <c r="G16" s="152">
        <f>C16/$C$29</f>
        <v>0.61507660713696044</v>
      </c>
    </row>
    <row r="17" spans="1:7">
      <c r="A17" s="90">
        <v>5650021</v>
      </c>
      <c r="B17" s="90" t="s">
        <v>27</v>
      </c>
      <c r="C17" s="126">
        <v>980913.68</v>
      </c>
      <c r="D17" s="151">
        <f>G17*$D$28</f>
        <v>1067907.962201311</v>
      </c>
      <c r="E17" s="91"/>
      <c r="F17" s="91">
        <f>D17-C17</f>
        <v>86994.282201310969</v>
      </c>
      <c r="G17" s="152">
        <f>C17/$C$28</f>
        <v>7.3466312457227591E-3</v>
      </c>
    </row>
    <row r="18" spans="1:7">
      <c r="A18" s="90">
        <v>5650015</v>
      </c>
      <c r="B18" s="90" t="s">
        <v>28</v>
      </c>
      <c r="C18" s="154">
        <v>167304.17000000001</v>
      </c>
      <c r="D18" s="154">
        <f>C18</f>
        <v>167304.17000000001</v>
      </c>
      <c r="E18" s="155"/>
      <c r="F18" s="155">
        <f>D18-C18</f>
        <v>0</v>
      </c>
      <c r="G18" s="156"/>
    </row>
    <row r="19" spans="1:7">
      <c r="A19" s="90" t="s">
        <v>29</v>
      </c>
      <c r="C19" s="151">
        <f>SUM(C14:C18)</f>
        <v>83720078.990000024</v>
      </c>
      <c r="D19" s="151">
        <f>SUM(D14:D18)</f>
        <v>90144886.597392514</v>
      </c>
      <c r="E19" s="91"/>
      <c r="F19" s="151">
        <f>SUM(F14:F18)</f>
        <v>6424807.6073925104</v>
      </c>
      <c r="G19" s="90" t="s">
        <v>62</v>
      </c>
    </row>
    <row r="20" spans="1:7">
      <c r="A20" s="90" t="s">
        <v>30</v>
      </c>
      <c r="C20" s="151"/>
      <c r="D20" s="151"/>
      <c r="E20" s="91"/>
      <c r="F20" s="91"/>
    </row>
    <row r="21" spans="1:7">
      <c r="A21" s="90" t="s">
        <v>31</v>
      </c>
      <c r="C21" s="151">
        <f>SUM(C14:C17)-SUM(C7:C9,C11)</f>
        <v>141976318.07000002</v>
      </c>
      <c r="D21" s="151">
        <f>SUM(D14:D17)-SUM(D7:D9,D11)</f>
        <v>153419860.43118101</v>
      </c>
      <c r="E21" s="151"/>
      <c r="F21" s="151">
        <f>SUM(F14:F17)-SUM(F7:F9,F11)</f>
        <v>11443542.361181026</v>
      </c>
    </row>
    <row r="22" spans="1:7">
      <c r="A22" s="90" t="s">
        <v>32</v>
      </c>
      <c r="C22" s="154">
        <f>-C10+C18</f>
        <v>304439.99</v>
      </c>
      <c r="D22" s="154">
        <f>-D10+D18</f>
        <v>304439.99</v>
      </c>
      <c r="E22" s="154"/>
      <c r="F22" s="154">
        <f>-F10+F18</f>
        <v>0</v>
      </c>
    </row>
    <row r="23" spans="1:7">
      <c r="A23" s="90" t="s">
        <v>33</v>
      </c>
      <c r="C23" s="151">
        <f>C22+C21</f>
        <v>142280758.06000003</v>
      </c>
      <c r="D23" s="151">
        <f>D22+D21</f>
        <v>153724300.42118102</v>
      </c>
      <c r="E23" s="91"/>
      <c r="F23" s="151">
        <f>F19-F12</f>
        <v>11443542.361181026</v>
      </c>
    </row>
    <row r="24" spans="1:7">
      <c r="F24" s="91"/>
    </row>
    <row r="25" spans="1:7">
      <c r="B25" s="90" t="s">
        <v>34</v>
      </c>
      <c r="C25" s="157">
        <f>-C12+C19</f>
        <v>142280758.06</v>
      </c>
      <c r="D25" s="91">
        <f>D23</f>
        <v>153724300.42118102</v>
      </c>
      <c r="F25" s="91">
        <f>D23-C23</f>
        <v>11443542.361180991</v>
      </c>
    </row>
    <row r="26" spans="1:7">
      <c r="D26" s="91"/>
    </row>
    <row r="27" spans="1:7">
      <c r="C27" s="158" t="s">
        <v>7</v>
      </c>
      <c r="D27" s="159" t="s">
        <v>70</v>
      </c>
      <c r="F27" s="160" t="s">
        <v>64</v>
      </c>
    </row>
    <row r="28" spans="1:7">
      <c r="B28" s="90" t="s">
        <v>36</v>
      </c>
      <c r="C28" s="91">
        <f>-C9+C15+C17+-C7</f>
        <v>133518839.75000001</v>
      </c>
      <c r="D28" s="161">
        <f>'2026 Rates'!O17</f>
        <v>145360223.82000616</v>
      </c>
      <c r="F28" s="91">
        <f>D28-C28</f>
        <v>11841384.070006147</v>
      </c>
    </row>
    <row r="29" spans="1:7">
      <c r="B29" s="147" t="s">
        <v>65</v>
      </c>
      <c r="C29" s="162">
        <f>-C11+C14+C16</f>
        <v>8457478.3200000003</v>
      </c>
      <c r="D29" s="162">
        <f>'2026 Rates'!N17</f>
        <v>8059636.6111748945</v>
      </c>
      <c r="F29" s="155">
        <f>D29-C29</f>
        <v>-397841.7088251058</v>
      </c>
    </row>
    <row r="30" spans="1:7">
      <c r="B30" s="90" t="s">
        <v>66</v>
      </c>
      <c r="C30" s="163">
        <f>SUM(C28:C29)</f>
        <v>141976318.07000002</v>
      </c>
      <c r="D30" s="163">
        <f>SUM(D28:D29)</f>
        <v>153419860.43118104</v>
      </c>
      <c r="F30" s="164">
        <f>F28+F29</f>
        <v>11443542.361181041</v>
      </c>
    </row>
    <row r="31" spans="1:7">
      <c r="C31" s="165"/>
      <c r="D31" s="165"/>
      <c r="F31" s="164">
        <f>F25-F30</f>
        <v>-5.029141902923584E-8</v>
      </c>
    </row>
    <row r="32" spans="1:7">
      <c r="B32" s="90" t="s">
        <v>67</v>
      </c>
      <c r="C32" s="126">
        <f>-C10+C18</f>
        <v>304439.99</v>
      </c>
      <c r="D32" s="126">
        <f>-D10+D18</f>
        <v>304439.99</v>
      </c>
      <c r="F32" s="166">
        <f>D32-C32</f>
        <v>0</v>
      </c>
    </row>
    <row r="33" spans="2:6">
      <c r="C33" s="126"/>
      <c r="D33" s="167"/>
    </row>
    <row r="34" spans="2:6">
      <c r="C34" s="158" t="s">
        <v>7</v>
      </c>
      <c r="D34" s="159" t="s">
        <v>70</v>
      </c>
      <c r="F34" s="160" t="s">
        <v>64</v>
      </c>
    </row>
    <row r="35" spans="2:6">
      <c r="B35" s="90" t="s">
        <v>36</v>
      </c>
      <c r="C35" s="165">
        <f>C28</f>
        <v>133518839.75000001</v>
      </c>
      <c r="D35" s="165">
        <f>D28</f>
        <v>145360223.82000616</v>
      </c>
      <c r="F35" s="91">
        <f>D35-C35</f>
        <v>11841384.070006147</v>
      </c>
    </row>
    <row r="36" spans="2:6">
      <c r="B36" s="90" t="s">
        <v>37</v>
      </c>
      <c r="C36" s="168">
        <f>C29+C32</f>
        <v>8761918.3100000005</v>
      </c>
      <c r="D36" s="168">
        <f>D29+D32</f>
        <v>8364076.6011748947</v>
      </c>
      <c r="F36" s="155">
        <f>D36-C36</f>
        <v>-397841.7088251058</v>
      </c>
    </row>
    <row r="37" spans="2:6">
      <c r="C37" s="165">
        <f>SUM(C35:C36)</f>
        <v>142280758.06</v>
      </c>
      <c r="D37" s="165">
        <f>SUM(D35:D36)</f>
        <v>153724300.42118105</v>
      </c>
      <c r="F37" s="91">
        <f>SUM(F35:F36)</f>
        <v>11443542.361181041</v>
      </c>
    </row>
    <row r="38" spans="2:6">
      <c r="C38" s="165"/>
      <c r="D38" s="165"/>
    </row>
    <row r="39" spans="2:6">
      <c r="C39" s="165"/>
      <c r="D39" s="165"/>
    </row>
    <row r="40" spans="2:6">
      <c r="C40" s="165"/>
      <c r="D40" s="165"/>
    </row>
    <row r="41" spans="2:6">
      <c r="C41" s="165"/>
      <c r="D41" s="165"/>
      <c r="E41" s="91"/>
      <c r="F41" s="91"/>
    </row>
  </sheetData>
  <pageMargins left="0.7" right="0.7" top="0.75" bottom="0.75" header="0.3" footer="0.3"/>
  <pageSetup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"/>
  <sheetViews>
    <sheetView zoomScale="90" zoomScaleNormal="90" workbookViewId="0">
      <selection activeCell="L15" sqref="L15"/>
    </sheetView>
  </sheetViews>
  <sheetFormatPr defaultColWidth="8.7109375" defaultRowHeight="15.6"/>
  <cols>
    <col min="1" max="3" width="12" style="90" customWidth="1"/>
    <col min="4" max="4" width="17.28515625" style="90" customWidth="1"/>
    <col min="5" max="5" width="16.28515625" style="90" customWidth="1"/>
    <col min="6" max="6" width="12" style="90" customWidth="1"/>
    <col min="7" max="7" width="26.140625" style="90" bestFit="1" customWidth="1"/>
    <col min="8" max="8" width="18.140625" style="90" bestFit="1" customWidth="1"/>
    <col min="9" max="9" width="38.42578125" style="90" bestFit="1" customWidth="1"/>
    <col min="10" max="11" width="16.140625" style="90" bestFit="1" customWidth="1"/>
    <col min="12" max="12" width="18" style="90" bestFit="1" customWidth="1"/>
    <col min="13" max="13" width="65.140625" style="90" bestFit="1" customWidth="1"/>
    <col min="14" max="14" width="18.42578125" style="90" bestFit="1" customWidth="1"/>
    <col min="15" max="15" width="45.42578125" style="90" customWidth="1"/>
    <col min="16" max="16" width="16.85546875" style="90" bestFit="1" customWidth="1"/>
    <col min="17" max="17" width="8.7109375" style="90"/>
    <col min="18" max="18" width="15.140625" style="90" bestFit="1" customWidth="1"/>
    <col min="19" max="16384" width="8.7109375" style="90"/>
  </cols>
  <sheetData>
    <row r="1" spans="1:18">
      <c r="A1" s="113" t="s">
        <v>72</v>
      </c>
    </row>
    <row r="2" spans="1:18">
      <c r="A2" s="113"/>
    </row>
    <row r="3" spans="1:18">
      <c r="L3" s="90" t="s">
        <v>73</v>
      </c>
    </row>
    <row r="4" spans="1:18">
      <c r="B4" s="349" t="s">
        <v>74</v>
      </c>
      <c r="C4" s="349"/>
      <c r="D4" s="349"/>
      <c r="E4" s="349"/>
      <c r="G4" s="113" t="s">
        <v>75</v>
      </c>
      <c r="H4" s="115"/>
      <c r="I4" s="115"/>
    </row>
    <row r="5" spans="1:18">
      <c r="A5" s="90" t="s">
        <v>76</v>
      </c>
      <c r="B5" s="114" t="s">
        <v>77</v>
      </c>
      <c r="C5" s="114" t="s">
        <v>78</v>
      </c>
      <c r="D5" s="114"/>
      <c r="E5" s="114"/>
      <c r="G5" s="90" t="s">
        <v>79</v>
      </c>
      <c r="H5" s="116">
        <f>'Zonal Rates 2025'!I30+'Zonal Rates 2025'!I36</f>
        <v>1333214600.7755802</v>
      </c>
      <c r="I5" s="115" t="s">
        <v>80</v>
      </c>
      <c r="J5" s="117"/>
      <c r="K5" s="117"/>
      <c r="L5" s="343">
        <f>'Zonal Rates 2025'!I34+'Zonal Rates 2025'!I38+'Zonal Rates 2025'!I40+'Zonal Rates 2025'!I42+'Zonal Rates 2025'!I44</f>
        <v>-80480921.095136672</v>
      </c>
    </row>
    <row r="6" spans="1:18">
      <c r="A6" s="90" t="s">
        <v>81</v>
      </c>
      <c r="B6" s="118">
        <f>[2]NTS!$I$6</f>
        <v>19099.300000000003</v>
      </c>
      <c r="C6" s="119">
        <f>B6/B8</f>
        <v>0.8557800878214894</v>
      </c>
      <c r="D6" s="120"/>
      <c r="E6" s="119"/>
      <c r="G6" s="90" t="s">
        <v>82</v>
      </c>
      <c r="H6" s="116">
        <f>'TransCo PJM Zonal Rates 2025'!I30+'TransCo PJM Zonal Rates 2025'!I34</f>
        <v>1753802380.8783817</v>
      </c>
      <c r="I6" s="115" t="s">
        <v>80</v>
      </c>
      <c r="J6" s="117"/>
      <c r="K6" s="117"/>
      <c r="L6" s="343">
        <f>'TransCo PJM Zonal Rates 2025'!I32+'TransCo PJM Zonal Rates 2025'!I36+'TransCo PJM Zonal Rates 2025'!I38+'TransCo PJM Zonal Rates 2025'!I40+'TransCo PJM Zonal Rates 2025'!I42</f>
        <v>-103656961.82488619</v>
      </c>
      <c r="M6" s="5"/>
      <c r="N6" s="169"/>
      <c r="O6" s="5"/>
      <c r="P6" s="169"/>
    </row>
    <row r="7" spans="1:18">
      <c r="A7" s="90" t="s">
        <v>83</v>
      </c>
      <c r="B7" s="118">
        <f>[2]NTS!$I$7</f>
        <v>3218.7000000000003</v>
      </c>
      <c r="C7" s="119">
        <f>B7/B8</f>
        <v>0.1442199121785106</v>
      </c>
      <c r="D7" s="120"/>
      <c r="E7" s="119"/>
      <c r="G7" s="113" t="s">
        <v>84</v>
      </c>
      <c r="H7" s="121">
        <v>183630570.71098208</v>
      </c>
      <c r="I7" s="122">
        <v>2025</v>
      </c>
      <c r="J7" s="117"/>
      <c r="K7" s="127"/>
      <c r="L7" s="344">
        <f>SUM('Zonal Rates 2025'!I62:I65)+SUM('TransCo PJM Zonal Rates 2025'!I59:I62)</f>
        <v>-10949586.048040753</v>
      </c>
      <c r="N7" s="169"/>
      <c r="O7" s="5"/>
      <c r="P7" s="169"/>
    </row>
    <row r="8" spans="1:18">
      <c r="B8" s="123">
        <f>SUM(B6:B7)</f>
        <v>22318.000000000004</v>
      </c>
      <c r="C8" s="119"/>
      <c r="D8" s="120"/>
      <c r="G8" s="90" t="s">
        <v>85</v>
      </c>
      <c r="H8" s="124">
        <f>SUM(H5:H7)</f>
        <v>3270647552.3649445</v>
      </c>
      <c r="L8" s="343">
        <f>SUM(L5:L7)</f>
        <v>-195087468.96806359</v>
      </c>
      <c r="M8" s="5"/>
      <c r="N8" s="169"/>
      <c r="O8" s="5"/>
      <c r="P8" s="169"/>
    </row>
    <row r="9" spans="1:18">
      <c r="H9" s="114"/>
      <c r="I9" s="114"/>
      <c r="M9" s="5"/>
      <c r="N9" s="169"/>
      <c r="O9" s="2"/>
      <c r="P9" s="169"/>
    </row>
    <row r="10" spans="1:18">
      <c r="B10" s="349" t="s">
        <v>86</v>
      </c>
      <c r="C10" s="349"/>
      <c r="D10" s="119"/>
      <c r="G10" s="90" t="s">
        <v>87</v>
      </c>
      <c r="H10" s="125">
        <f>C6</f>
        <v>0.8557800878214894</v>
      </c>
      <c r="I10" s="125"/>
      <c r="J10" s="117"/>
      <c r="K10" s="117"/>
      <c r="L10" s="343">
        <f>L8*H10*C17</f>
        <v>-9063996.7568724304</v>
      </c>
      <c r="M10" s="5" t="s">
        <v>88</v>
      </c>
      <c r="N10" s="169"/>
      <c r="O10" s="5"/>
      <c r="P10" s="169"/>
    </row>
    <row r="11" spans="1:18">
      <c r="D11" s="119"/>
      <c r="G11" s="90" t="s">
        <v>89</v>
      </c>
      <c r="H11" s="126">
        <f>H8*H10</f>
        <v>2798955049.5960116</v>
      </c>
      <c r="I11" s="124"/>
      <c r="J11" s="117"/>
      <c r="K11" s="117"/>
      <c r="M11" s="5"/>
      <c r="N11" s="169"/>
      <c r="O11" s="5"/>
      <c r="P11" s="169"/>
      <c r="R11" s="127"/>
    </row>
    <row r="12" spans="1:18">
      <c r="B12" s="349" t="s">
        <v>90</v>
      </c>
      <c r="C12" s="349"/>
      <c r="D12" s="114"/>
      <c r="M12" s="5"/>
      <c r="N12" s="169"/>
      <c r="O12" s="5"/>
      <c r="P12" s="169"/>
    </row>
    <row r="13" spans="1:18">
      <c r="A13" s="90" t="s">
        <v>91</v>
      </c>
      <c r="B13" s="114" t="s">
        <v>77</v>
      </c>
      <c r="C13" s="114" t="s">
        <v>78</v>
      </c>
      <c r="D13" s="114"/>
      <c r="E13" s="114"/>
      <c r="H13" s="125"/>
      <c r="I13" s="128" t="s">
        <v>92</v>
      </c>
      <c r="J13" s="128" t="s">
        <v>36</v>
      </c>
      <c r="K13" s="128"/>
      <c r="M13" s="5"/>
      <c r="N13" s="169"/>
      <c r="O13" s="5"/>
      <c r="P13" s="169"/>
    </row>
    <row r="14" spans="1:18">
      <c r="A14" s="90" t="s">
        <v>93</v>
      </c>
      <c r="B14" s="118">
        <v>4607.4630833333331</v>
      </c>
      <c r="C14" s="119">
        <f t="shared" ref="C14:C18" si="0">B14/$B$20</f>
        <v>0.27663245929717756</v>
      </c>
      <c r="D14" s="124"/>
      <c r="E14" s="119"/>
      <c r="G14" s="90" t="s">
        <v>94</v>
      </c>
      <c r="H14" s="126">
        <f>$H$11*C14</f>
        <v>774281818.83199823</v>
      </c>
      <c r="I14" s="124"/>
      <c r="J14" s="129"/>
      <c r="K14" s="129"/>
      <c r="L14" s="5"/>
      <c r="M14" s="5"/>
      <c r="N14" s="5"/>
      <c r="O14" s="5"/>
      <c r="P14" s="5"/>
    </row>
    <row r="15" spans="1:18">
      <c r="A15" s="90" t="s">
        <v>95</v>
      </c>
      <c r="B15" s="118">
        <v>7395.4409166666674</v>
      </c>
      <c r="C15" s="119">
        <f t="shared" si="0"/>
        <v>0.44402287579142086</v>
      </c>
      <c r="D15" s="124"/>
      <c r="E15" s="119"/>
      <c r="G15" s="90" t="s">
        <v>96</v>
      </c>
      <c r="H15" s="126">
        <f t="shared" ref="H15:H16" si="1">$H$11*C15</f>
        <v>1242800070.33254</v>
      </c>
      <c r="I15" s="124"/>
      <c r="J15" s="129"/>
      <c r="K15" s="129"/>
      <c r="L15" s="5"/>
      <c r="M15" s="5"/>
      <c r="N15" s="5"/>
      <c r="O15" s="5"/>
      <c r="P15" s="5"/>
    </row>
    <row r="16" spans="1:18">
      <c r="A16" s="90" t="s">
        <v>97</v>
      </c>
      <c r="B16" s="118">
        <v>2829.0391666666669</v>
      </c>
      <c r="C16" s="119">
        <f t="shared" si="0"/>
        <v>0.16985574229644226</v>
      </c>
      <c r="D16" s="124"/>
      <c r="E16" s="119"/>
      <c r="G16" s="90" t="s">
        <v>98</v>
      </c>
      <c r="H16" s="126">
        <f t="shared" si="1"/>
        <v>475418587.60350591</v>
      </c>
      <c r="I16" s="124"/>
      <c r="J16" s="129"/>
      <c r="K16" s="129"/>
      <c r="L16" s="5"/>
      <c r="M16" s="5"/>
      <c r="N16" s="5"/>
      <c r="O16" s="5"/>
      <c r="P16" s="5"/>
    </row>
    <row r="17" spans="1:18">
      <c r="A17" s="90" t="s">
        <v>99</v>
      </c>
      <c r="B17" s="118">
        <v>904.24666666666656</v>
      </c>
      <c r="C17" s="119">
        <f t="shared" si="0"/>
        <v>5.4291043614896423E-2</v>
      </c>
      <c r="D17" s="124"/>
      <c r="E17" s="119"/>
      <c r="G17" s="90" t="s">
        <v>100</v>
      </c>
      <c r="H17" s="126">
        <f>$H$11*C17</f>
        <v>151958190.67375165</v>
      </c>
      <c r="I17" s="124">
        <f>H7*H10*C17</f>
        <v>8531695.583479261</v>
      </c>
      <c r="J17" s="124">
        <f>(H5+H6)*H10*C17</f>
        <v>143426495.09027237</v>
      </c>
      <c r="K17" s="124"/>
      <c r="L17" s="5"/>
      <c r="M17" s="5"/>
      <c r="N17" s="5"/>
      <c r="O17" s="5"/>
      <c r="P17" s="5"/>
      <c r="R17" s="127"/>
    </row>
    <row r="18" spans="1:18">
      <c r="A18" s="90" t="s">
        <v>101</v>
      </c>
      <c r="B18" s="118">
        <v>621.18624999999986</v>
      </c>
      <c r="C18" s="119">
        <f t="shared" si="0"/>
        <v>3.7296073112488427E-2</v>
      </c>
      <c r="D18" s="124"/>
      <c r="E18" s="119"/>
      <c r="G18" s="90" t="s">
        <v>102</v>
      </c>
      <c r="H18" s="126">
        <f t="shared" ref="H18:H19" si="2">$H$11*C18</f>
        <v>104390032.16830152</v>
      </c>
      <c r="I18" s="124"/>
      <c r="J18" s="129"/>
      <c r="K18" s="129"/>
      <c r="L18" s="5"/>
      <c r="M18" s="5"/>
      <c r="N18" s="5"/>
      <c r="O18" s="5"/>
      <c r="P18" s="5"/>
    </row>
    <row r="19" spans="1:18">
      <c r="A19" s="90" t="s">
        <v>103</v>
      </c>
      <c r="B19" s="118">
        <v>298.16424999999998</v>
      </c>
      <c r="C19" s="119">
        <f>B19/$B$20</f>
        <v>1.7901805887574423E-2</v>
      </c>
      <c r="D19" s="124"/>
      <c r="E19" s="119"/>
      <c r="G19" s="90" t="s">
        <v>104</v>
      </c>
      <c r="H19" s="126">
        <f t="shared" si="2"/>
        <v>50106349.985914044</v>
      </c>
      <c r="I19" s="124"/>
      <c r="J19" s="129"/>
      <c r="K19" s="129"/>
      <c r="L19" s="5"/>
      <c r="M19" s="5"/>
      <c r="N19" s="5"/>
      <c r="O19" s="5"/>
      <c r="P19" s="5"/>
    </row>
    <row r="20" spans="1:18">
      <c r="A20" s="90" t="s">
        <v>105</v>
      </c>
      <c r="B20" s="118">
        <v>16655.540333333334</v>
      </c>
      <c r="C20" s="119">
        <v>0.99999999999999989</v>
      </c>
      <c r="D20" s="120"/>
      <c r="E20" s="119"/>
      <c r="G20" s="113"/>
      <c r="H20" s="117"/>
      <c r="L20" s="5"/>
      <c r="M20" s="5"/>
      <c r="N20" s="5"/>
      <c r="O20" s="5"/>
      <c r="P20" s="5"/>
    </row>
    <row r="21" spans="1:18">
      <c r="G21" s="90" t="s">
        <v>106</v>
      </c>
      <c r="H21" s="124">
        <f>H11-SUM(H14:H19)</f>
        <v>0</v>
      </c>
      <c r="L21" s="5"/>
      <c r="M21" s="5"/>
      <c r="N21" s="5"/>
      <c r="O21" s="5"/>
      <c r="P21" s="5"/>
    </row>
    <row r="22" spans="1:18">
      <c r="C22" s="91"/>
      <c r="D22" s="130"/>
      <c r="L22" s="5"/>
      <c r="M22" s="5"/>
      <c r="N22" s="5"/>
      <c r="O22" s="5"/>
      <c r="P22" s="5"/>
    </row>
    <row r="23" spans="1:18">
      <c r="L23" s="5"/>
      <c r="M23" s="5"/>
      <c r="N23" s="5"/>
      <c r="O23" s="5"/>
      <c r="P23" s="5"/>
    </row>
    <row r="24" spans="1:18">
      <c r="L24" s="5"/>
      <c r="M24" s="5"/>
      <c r="N24" s="5"/>
      <c r="O24" s="5"/>
      <c r="P24" s="5"/>
    </row>
    <row r="25" spans="1:18">
      <c r="L25" s="5"/>
      <c r="M25" s="5"/>
      <c r="N25" s="5"/>
      <c r="O25" s="5"/>
      <c r="P25" s="5"/>
    </row>
    <row r="26" spans="1:18" ht="18.95" customHeight="1">
      <c r="A26" s="131"/>
      <c r="B26" s="132"/>
      <c r="C26" s="132"/>
      <c r="L26" s="5"/>
      <c r="M26" s="5"/>
      <c r="N26" s="5"/>
      <c r="O26" s="5"/>
      <c r="P26" s="5"/>
    </row>
    <row r="27" spans="1:18">
      <c r="A27" s="133" t="s">
        <v>107</v>
      </c>
      <c r="B27" s="134">
        <v>16655.540333333334</v>
      </c>
      <c r="C27" s="135"/>
      <c r="L27" s="5"/>
      <c r="M27" s="5"/>
      <c r="N27" s="5"/>
      <c r="O27" s="5"/>
      <c r="P27" s="5"/>
    </row>
    <row r="28" spans="1:18">
      <c r="A28" s="136" t="s">
        <v>93</v>
      </c>
      <c r="B28" s="137">
        <v>4607.4630833333331</v>
      </c>
      <c r="C28" s="138">
        <v>0.27663245929717756</v>
      </c>
      <c r="L28" s="5"/>
      <c r="M28" s="5"/>
      <c r="N28" s="5"/>
      <c r="O28" s="5"/>
      <c r="P28" s="5"/>
    </row>
    <row r="29" spans="1:18">
      <c r="A29" s="136" t="s">
        <v>95</v>
      </c>
      <c r="B29" s="139">
        <v>7395.4409166666674</v>
      </c>
      <c r="C29" s="138">
        <v>0.44402287579142086</v>
      </c>
      <c r="L29" s="5"/>
      <c r="M29" s="5"/>
      <c r="N29" s="5"/>
      <c r="O29" s="5"/>
      <c r="P29" s="5"/>
    </row>
    <row r="30" spans="1:18">
      <c r="A30" s="136" t="s">
        <v>97</v>
      </c>
      <c r="B30" s="139">
        <v>2829.0391666666669</v>
      </c>
      <c r="C30" s="138">
        <v>0.16985574229644226</v>
      </c>
      <c r="L30" s="5"/>
      <c r="M30" s="5"/>
      <c r="N30" s="5"/>
      <c r="O30" s="5"/>
      <c r="P30" s="5"/>
    </row>
    <row r="31" spans="1:18">
      <c r="A31" s="136" t="s">
        <v>99</v>
      </c>
      <c r="B31" s="139">
        <v>904.24666666666656</v>
      </c>
      <c r="C31" s="138">
        <v>5.4291043614896423E-2</v>
      </c>
      <c r="L31" s="5"/>
      <c r="M31" s="5"/>
      <c r="N31" s="5"/>
      <c r="O31" s="5"/>
      <c r="P31" s="5"/>
    </row>
    <row r="32" spans="1:18">
      <c r="A32" s="136" t="s">
        <v>101</v>
      </c>
      <c r="B32" s="139">
        <v>621.18624999999986</v>
      </c>
      <c r="C32" s="138">
        <v>3.7296073112488427E-2</v>
      </c>
      <c r="L32" s="5"/>
      <c r="M32" s="5"/>
      <c r="N32" s="5"/>
      <c r="O32" s="5"/>
      <c r="P32" s="5"/>
    </row>
    <row r="33" spans="1:16">
      <c r="A33" s="140" t="s">
        <v>103</v>
      </c>
      <c r="B33" s="141">
        <v>298.16424999999998</v>
      </c>
      <c r="C33" s="142">
        <v>1.7901805887574423E-2</v>
      </c>
      <c r="L33" s="5"/>
      <c r="M33" s="5"/>
      <c r="N33" s="5"/>
      <c r="O33" s="5"/>
      <c r="P33" s="5"/>
    </row>
    <row r="34" spans="1:16">
      <c r="A34" s="143" t="s">
        <v>105</v>
      </c>
      <c r="B34" s="144">
        <v>16655.540333333334</v>
      </c>
      <c r="C34" s="145">
        <v>1</v>
      </c>
      <c r="L34" s="5"/>
      <c r="M34" s="5"/>
      <c r="N34" s="5"/>
      <c r="O34" s="5"/>
      <c r="P34" s="5"/>
    </row>
    <row r="35" spans="1:16">
      <c r="L35" s="5"/>
      <c r="M35" s="5"/>
      <c r="N35" s="5"/>
      <c r="O35" s="5"/>
      <c r="P35" s="5"/>
    </row>
    <row r="36" spans="1:16">
      <c r="L36" s="5"/>
      <c r="M36" s="5"/>
      <c r="N36" s="5"/>
      <c r="O36" s="5"/>
      <c r="P36" s="5"/>
    </row>
    <row r="37" spans="1:16">
      <c r="L37" s="5"/>
      <c r="M37" s="5"/>
      <c r="N37" s="5"/>
      <c r="O37" s="5"/>
      <c r="P37" s="5"/>
    </row>
    <row r="38" spans="1:16">
      <c r="L38" s="5"/>
      <c r="M38" s="5"/>
      <c r="N38" s="5"/>
      <c r="O38" s="5"/>
      <c r="P38" s="5"/>
    </row>
    <row r="39" spans="1:16">
      <c r="L39" s="5"/>
      <c r="M39" s="5"/>
      <c r="N39" s="5"/>
      <c r="O39" s="5"/>
      <c r="P39" s="5"/>
    </row>
    <row r="40" spans="1:16">
      <c r="L40" s="5"/>
      <c r="M40" s="5"/>
      <c r="N40" s="5"/>
      <c r="O40" s="5"/>
      <c r="P40" s="5"/>
    </row>
    <row r="41" spans="1:16">
      <c r="L41" s="5"/>
      <c r="M41" s="5"/>
      <c r="N41" s="5"/>
      <c r="O41" s="5"/>
      <c r="P41" s="5"/>
    </row>
  </sheetData>
  <mergeCells count="4">
    <mergeCell ref="B4:C4"/>
    <mergeCell ref="D4:E4"/>
    <mergeCell ref="B12:C12"/>
    <mergeCell ref="B10:C1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53D3-ADDD-4FC9-9051-CE61AF1FBDF2}">
  <dimension ref="A1:R34"/>
  <sheetViews>
    <sheetView zoomScale="90" zoomScaleNormal="90" workbookViewId="0">
      <selection activeCell="G27" sqref="G27"/>
    </sheetView>
  </sheetViews>
  <sheetFormatPr defaultColWidth="8.7109375" defaultRowHeight="15.6"/>
  <cols>
    <col min="1" max="1" width="15.140625" style="90" customWidth="1"/>
    <col min="2" max="3" width="12" style="90" customWidth="1"/>
    <col min="4" max="4" width="17.28515625" style="90" customWidth="1"/>
    <col min="5" max="5" width="16.28515625" style="90" customWidth="1"/>
    <col min="6" max="6" width="12" style="90" customWidth="1"/>
    <col min="7" max="7" width="26.140625" style="90" bestFit="1" customWidth="1"/>
    <col min="8" max="8" width="18.140625" style="90" bestFit="1" customWidth="1"/>
    <col min="9" max="9" width="38.42578125" style="90" bestFit="1" customWidth="1"/>
    <col min="10" max="10" width="15.28515625" style="90" bestFit="1" customWidth="1"/>
    <col min="11" max="12" width="15.28515625" style="90" customWidth="1"/>
    <col min="13" max="13" width="27.85546875" style="90" bestFit="1" customWidth="1"/>
    <col min="14" max="14" width="24.140625" style="90" bestFit="1" customWidth="1"/>
    <col min="15" max="15" width="15.28515625" style="90" customWidth="1"/>
    <col min="16" max="16" width="16.140625" style="90" bestFit="1" customWidth="1"/>
    <col min="17" max="17" width="8.7109375" style="90"/>
    <col min="18" max="18" width="15.140625" style="90" bestFit="1" customWidth="1"/>
    <col min="19" max="16384" width="8.7109375" style="90"/>
  </cols>
  <sheetData>
    <row r="1" spans="1:18">
      <c r="A1" s="113" t="s">
        <v>72</v>
      </c>
      <c r="H1" s="90" t="s">
        <v>108</v>
      </c>
      <c r="L1" s="90" t="s">
        <v>109</v>
      </c>
    </row>
    <row r="2" spans="1:18">
      <c r="A2" s="113"/>
    </row>
    <row r="4" spans="1:18">
      <c r="B4" s="349" t="s">
        <v>74</v>
      </c>
      <c r="C4" s="349"/>
      <c r="D4" s="349"/>
      <c r="E4" s="349"/>
      <c r="G4" s="113" t="s">
        <v>75</v>
      </c>
      <c r="H4" s="115"/>
      <c r="I4" s="115"/>
      <c r="L4" s="113" t="s">
        <v>75</v>
      </c>
      <c r="M4" s="115"/>
      <c r="N4" s="115"/>
    </row>
    <row r="5" spans="1:18">
      <c r="A5" s="90" t="s">
        <v>76</v>
      </c>
      <c r="B5" s="114" t="s">
        <v>77</v>
      </c>
      <c r="C5" s="114" t="s">
        <v>78</v>
      </c>
      <c r="D5" s="114"/>
      <c r="E5" s="114"/>
      <c r="G5" s="90" t="s">
        <v>79</v>
      </c>
      <c r="H5" s="116">
        <f>'Zonal Rates - 2026'!I30+'Zonal Rates - 2026'!I36</f>
        <v>1451176693.7706711</v>
      </c>
      <c r="I5" s="115" t="s">
        <v>110</v>
      </c>
      <c r="J5" s="117"/>
      <c r="K5" s="117"/>
      <c r="L5" s="90" t="s">
        <v>79</v>
      </c>
      <c r="M5" s="116">
        <f>'Zonal Rates - 2026'!I38</f>
        <v>1423820532.6831055</v>
      </c>
      <c r="N5" s="115" t="s">
        <v>110</v>
      </c>
      <c r="O5" s="117"/>
      <c r="P5" s="117"/>
    </row>
    <row r="6" spans="1:18">
      <c r="A6" s="90" t="s">
        <v>81</v>
      </c>
      <c r="B6" s="118">
        <v>20356.7</v>
      </c>
      <c r="C6" s="119">
        <f>B6/B8</f>
        <v>0.85856298133292841</v>
      </c>
      <c r="D6" s="120"/>
      <c r="E6" s="119"/>
      <c r="G6" s="90" t="s">
        <v>82</v>
      </c>
      <c r="H6" s="116">
        <f>'TransCo PJM Zonal Rates 2026'!I30+'TransCo PJM Zonal Rates 2026'!I34</f>
        <v>1891594262.2196047</v>
      </c>
      <c r="I6" s="115" t="s">
        <v>110</v>
      </c>
      <c r="J6" s="117"/>
      <c r="K6" s="117"/>
      <c r="L6" s="90" t="s">
        <v>82</v>
      </c>
      <c r="M6" s="116">
        <f>'TransCo PJM Zonal Rates 2026'!I36</f>
        <v>1864589962.2209086</v>
      </c>
      <c r="N6" s="115" t="s">
        <v>110</v>
      </c>
      <c r="O6" s="117"/>
      <c r="P6" s="117"/>
    </row>
    <row r="7" spans="1:18">
      <c r="A7" s="90" t="s">
        <v>83</v>
      </c>
      <c r="B7" s="118">
        <v>3353.5</v>
      </c>
      <c r="C7" s="119">
        <f>B7/B8</f>
        <v>0.14143701866707156</v>
      </c>
      <c r="D7" s="120"/>
      <c r="E7" s="119"/>
      <c r="G7" s="113" t="s">
        <v>84</v>
      </c>
      <c r="H7" s="121">
        <v>182329064.44969606</v>
      </c>
      <c r="I7" s="122" t="s">
        <v>111</v>
      </c>
      <c r="L7" s="113" t="s">
        <v>84</v>
      </c>
      <c r="M7" s="121">
        <v>182329064.44969606</v>
      </c>
      <c r="N7" s="122" t="s">
        <v>111</v>
      </c>
      <c r="P7" s="127"/>
    </row>
    <row r="8" spans="1:18">
      <c r="B8" s="123">
        <f>SUM(B6:B7)</f>
        <v>23710.2</v>
      </c>
      <c r="C8" s="119"/>
      <c r="D8" s="120"/>
      <c r="G8" s="90" t="s">
        <v>85</v>
      </c>
      <c r="H8" s="124">
        <f>SUM(H5:H7)</f>
        <v>3525100020.4399719</v>
      </c>
      <c r="L8" s="90" t="s">
        <v>85</v>
      </c>
      <c r="M8" s="124">
        <f>SUM(M5:M7)</f>
        <v>3470739559.3537102</v>
      </c>
    </row>
    <row r="9" spans="1:18">
      <c r="H9" s="114"/>
      <c r="I9" s="114"/>
      <c r="M9" s="114"/>
      <c r="N9" s="114"/>
    </row>
    <row r="10" spans="1:18">
      <c r="B10" s="349" t="s">
        <v>86</v>
      </c>
      <c r="C10" s="349"/>
      <c r="D10" s="119"/>
      <c r="G10" s="90" t="s">
        <v>87</v>
      </c>
      <c r="H10" s="125">
        <f>C6</f>
        <v>0.85856298133292841</v>
      </c>
      <c r="I10" s="125"/>
      <c r="J10" s="117"/>
      <c r="K10" s="117"/>
      <c r="L10" s="90" t="s">
        <v>87</v>
      </c>
      <c r="M10" s="125">
        <f>H10</f>
        <v>0.85856298133292841</v>
      </c>
      <c r="N10" s="125"/>
      <c r="O10" s="117"/>
      <c r="P10" s="117"/>
    </row>
    <row r="11" spans="1:18">
      <c r="D11" s="119"/>
      <c r="G11" s="90" t="s">
        <v>89</v>
      </c>
      <c r="H11" s="126">
        <f>H8*H10</f>
        <v>3026520383.0457091</v>
      </c>
      <c r="I11" s="124"/>
      <c r="J11" s="117"/>
      <c r="K11" s="117"/>
      <c r="L11" s="90" t="s">
        <v>89</v>
      </c>
      <c r="M11" s="126">
        <f>M8*M10</f>
        <v>2979848503.5088558</v>
      </c>
      <c r="N11" s="124"/>
      <c r="O11" s="117"/>
      <c r="P11" s="117"/>
      <c r="R11" s="127"/>
    </row>
    <row r="12" spans="1:18">
      <c r="B12" s="349" t="s">
        <v>90</v>
      </c>
      <c r="C12" s="349"/>
      <c r="D12" s="114"/>
    </row>
    <row r="13" spans="1:18">
      <c r="A13" s="90" t="s">
        <v>91</v>
      </c>
      <c r="B13" s="114" t="s">
        <v>77</v>
      </c>
      <c r="C13" s="114" t="s">
        <v>78</v>
      </c>
      <c r="D13" s="114"/>
      <c r="E13" s="114"/>
      <c r="H13" s="125"/>
      <c r="I13" s="128" t="s">
        <v>92</v>
      </c>
      <c r="J13" s="128" t="s">
        <v>36</v>
      </c>
      <c r="K13" s="128"/>
      <c r="M13" s="125"/>
      <c r="N13" s="128" t="s">
        <v>92</v>
      </c>
      <c r="O13" s="128" t="s">
        <v>36</v>
      </c>
      <c r="P13" s="128"/>
    </row>
    <row r="14" spans="1:18">
      <c r="A14" s="90" t="s">
        <v>93</v>
      </c>
      <c r="B14" s="118">
        <v>4601.3606666666665</v>
      </c>
      <c r="C14" s="119">
        <f t="shared" ref="C14:C18" si="0">B14/$B$20</f>
        <v>0.26233637355261413</v>
      </c>
      <c r="D14" s="124"/>
      <c r="E14" s="119"/>
      <c r="G14" s="90" t="s">
        <v>94</v>
      </c>
      <c r="H14" s="126">
        <f>$H$11*C14</f>
        <v>793966381.77127993</v>
      </c>
      <c r="I14" s="124"/>
      <c r="J14" s="129"/>
      <c r="K14" s="129"/>
      <c r="L14" s="90" t="s">
        <v>94</v>
      </c>
      <c r="M14" s="126">
        <f>$M$11*C14</f>
        <v>781722650.1466974</v>
      </c>
      <c r="N14" s="124"/>
      <c r="O14" s="129"/>
      <c r="P14" s="129"/>
    </row>
    <row r="15" spans="1:18">
      <c r="A15" s="90" t="s">
        <v>95</v>
      </c>
      <c r="B15" s="118">
        <v>8151.8123333333324</v>
      </c>
      <c r="C15" s="119">
        <f t="shared" si="0"/>
        <v>0.46475750116700409</v>
      </c>
      <c r="D15" s="124"/>
      <c r="E15" s="119"/>
      <c r="G15" s="90" t="s">
        <v>96</v>
      </c>
      <c r="H15" s="126">
        <f t="shared" ref="H15:H16" si="1">$H$11*C15</f>
        <v>1406598050.4553277</v>
      </c>
      <c r="I15" s="124"/>
      <c r="J15" s="129"/>
      <c r="K15" s="129"/>
      <c r="L15" s="90" t="s">
        <v>96</v>
      </c>
      <c r="M15" s="126">
        <f t="shared" ref="M15:M19" si="2">$M$11*C15</f>
        <v>1384906944.3470125</v>
      </c>
      <c r="N15" s="124"/>
      <c r="O15" s="129"/>
      <c r="P15" s="129"/>
    </row>
    <row r="16" spans="1:18">
      <c r="A16" s="90" t="s">
        <v>97</v>
      </c>
      <c r="B16" s="118">
        <v>2954.0729999999999</v>
      </c>
      <c r="C16" s="119">
        <f t="shared" si="0"/>
        <v>0.16841992057777361</v>
      </c>
      <c r="D16" s="124"/>
      <c r="E16" s="119"/>
      <c r="G16" s="90" t="s">
        <v>98</v>
      </c>
      <c r="H16" s="126">
        <f t="shared" si="1"/>
        <v>509726322.53957129</v>
      </c>
      <c r="I16" s="124"/>
      <c r="J16" s="129"/>
      <c r="K16" s="129"/>
      <c r="L16" s="90" t="s">
        <v>98</v>
      </c>
      <c r="M16" s="126">
        <f t="shared" si="2"/>
        <v>501865848.29475904</v>
      </c>
      <c r="N16" s="124"/>
      <c r="O16" s="129"/>
      <c r="P16" s="129"/>
    </row>
    <row r="17" spans="1:18">
      <c r="A17" s="90" t="s">
        <v>99</v>
      </c>
      <c r="B17" s="118">
        <v>903.05700000000013</v>
      </c>
      <c r="C17" s="119">
        <f t="shared" si="0"/>
        <v>5.1485792063094761E-2</v>
      </c>
      <c r="D17" s="124"/>
      <c r="E17" s="119"/>
      <c r="G17" s="90" t="s">
        <v>100</v>
      </c>
      <c r="H17" s="126">
        <f>$H$11*C17</f>
        <v>155822799.1162093</v>
      </c>
      <c r="I17" s="124">
        <f>H7*H10*$C$17</f>
        <v>8059636.6111748945</v>
      </c>
      <c r="J17" s="124">
        <f>(H5+H6)*H10*C17</f>
        <v>147763162.50503439</v>
      </c>
      <c r="K17" s="124"/>
      <c r="L17" s="90" t="s">
        <v>100</v>
      </c>
      <c r="M17" s="126">
        <f t="shared" si="2"/>
        <v>153419860.43118104</v>
      </c>
      <c r="N17" s="124">
        <f>M7*M10*$C$17</f>
        <v>8059636.6111748945</v>
      </c>
      <c r="O17" s="124">
        <f>(M5+M6)*M10*C17</f>
        <v>145360223.82000616</v>
      </c>
      <c r="P17" s="124"/>
      <c r="R17" s="127"/>
    </row>
    <row r="18" spans="1:18">
      <c r="A18" s="90" t="s">
        <v>101</v>
      </c>
      <c r="B18" s="118">
        <v>631.69425000000012</v>
      </c>
      <c r="C18" s="119">
        <f t="shared" si="0"/>
        <v>3.6014646697775002E-2</v>
      </c>
      <c r="D18" s="124"/>
      <c r="E18" s="119"/>
      <c r="G18" s="90" t="s">
        <v>102</v>
      </c>
      <c r="H18" s="126">
        <f t="shared" ref="H18:H19" si="3">$H$11*C18</f>
        <v>108999062.31900588</v>
      </c>
      <c r="I18" s="124"/>
      <c r="J18" s="129"/>
      <c r="K18" s="129"/>
      <c r="L18" s="90" t="s">
        <v>102</v>
      </c>
      <c r="M18" s="126">
        <f t="shared" si="2"/>
        <v>107318191.066765</v>
      </c>
      <c r="N18" s="124"/>
      <c r="O18" s="129"/>
      <c r="P18" s="129"/>
    </row>
    <row r="19" spans="1:18">
      <c r="A19" s="90" t="s">
        <v>103</v>
      </c>
      <c r="B19" s="118">
        <v>297.92908333333332</v>
      </c>
      <c r="C19" s="119">
        <f>B19/$B$20</f>
        <v>1.6985765941738371E-2</v>
      </c>
      <c r="D19" s="124"/>
      <c r="E19" s="119"/>
      <c r="G19" s="90" t="s">
        <v>104</v>
      </c>
      <c r="H19" s="126">
        <f t="shared" si="3"/>
        <v>51407766.844314776</v>
      </c>
      <c r="I19" s="124"/>
      <c r="J19" s="129"/>
      <c r="K19" s="129"/>
      <c r="L19" s="90" t="s">
        <v>104</v>
      </c>
      <c r="M19" s="126">
        <f t="shared" si="2"/>
        <v>50615009.222440779</v>
      </c>
      <c r="N19" s="124"/>
      <c r="O19" s="129"/>
      <c r="P19" s="129"/>
    </row>
    <row r="20" spans="1:18">
      <c r="A20" s="90" t="s">
        <v>105</v>
      </c>
      <c r="B20" s="118">
        <f>SUM(B14:B19)</f>
        <v>17539.926333333333</v>
      </c>
      <c r="C20" s="119">
        <v>0.99999999999999989</v>
      </c>
      <c r="D20" s="120"/>
      <c r="E20" s="119"/>
      <c r="G20" s="113"/>
      <c r="H20" s="117"/>
      <c r="L20" s="113"/>
      <c r="M20" s="117"/>
    </row>
    <row r="21" spans="1:18">
      <c r="G21" s="90" t="s">
        <v>106</v>
      </c>
      <c r="H21" s="124">
        <f>H11-SUM(H14:H19)</f>
        <v>0</v>
      </c>
      <c r="L21" s="90" t="s">
        <v>106</v>
      </c>
      <c r="M21" s="124">
        <f>M11-SUM(M14:M19)</f>
        <v>0</v>
      </c>
    </row>
    <row r="22" spans="1:18">
      <c r="C22" s="91"/>
      <c r="D22" s="130"/>
    </row>
    <row r="26" spans="1:18" ht="18.95" customHeight="1">
      <c r="A26" s="131"/>
      <c r="B26" s="132"/>
      <c r="C26" s="132"/>
    </row>
    <row r="27" spans="1:18">
      <c r="A27" s="133" t="s">
        <v>107</v>
      </c>
      <c r="B27" s="134"/>
      <c r="C27" s="135"/>
    </row>
    <row r="28" spans="1:18">
      <c r="A28" s="326" t="s">
        <v>93</v>
      </c>
      <c r="B28" s="331">
        <v>4601.3606666666665</v>
      </c>
      <c r="C28" s="329">
        <f>B28/$B$34</f>
        <v>0.26233637355261413</v>
      </c>
    </row>
    <row r="29" spans="1:18">
      <c r="A29" s="326" t="s">
        <v>95</v>
      </c>
      <c r="B29" s="332">
        <v>8151.8123333333324</v>
      </c>
      <c r="C29" s="329">
        <f t="shared" ref="C29:C34" si="4">B29/$B$34</f>
        <v>0.46475750116700409</v>
      </c>
    </row>
    <row r="30" spans="1:18">
      <c r="A30" s="326" t="s">
        <v>97</v>
      </c>
      <c r="B30" s="332">
        <v>2954.0729999999999</v>
      </c>
      <c r="C30" s="329">
        <f t="shared" si="4"/>
        <v>0.16841992057777361</v>
      </c>
    </row>
    <row r="31" spans="1:18">
      <c r="A31" s="326" t="s">
        <v>99</v>
      </c>
      <c r="B31" s="332">
        <v>903.05700000000013</v>
      </c>
      <c r="C31" s="329">
        <f t="shared" si="4"/>
        <v>5.1485792063094761E-2</v>
      </c>
    </row>
    <row r="32" spans="1:18">
      <c r="A32" s="326" t="s">
        <v>101</v>
      </c>
      <c r="B32" s="332">
        <v>631.69425000000012</v>
      </c>
      <c r="C32" s="329">
        <f t="shared" si="4"/>
        <v>3.6014646697775002E-2</v>
      </c>
    </row>
    <row r="33" spans="1:3">
      <c r="A33" s="327" t="s">
        <v>103</v>
      </c>
      <c r="B33" s="333">
        <v>297.92908333333332</v>
      </c>
      <c r="C33" s="330">
        <f t="shared" si="4"/>
        <v>1.6985765941738371E-2</v>
      </c>
    </row>
    <row r="34" spans="1:3">
      <c r="A34" s="328" t="s">
        <v>105</v>
      </c>
      <c r="B34" s="333">
        <f>SUM(B28:B33)</f>
        <v>17539.926333333333</v>
      </c>
      <c r="C34" s="325">
        <f t="shared" si="4"/>
        <v>1</v>
      </c>
    </row>
  </sheetData>
  <mergeCells count="4">
    <mergeCell ref="B4:C4"/>
    <mergeCell ref="D4:E4"/>
    <mergeCell ref="B10:C10"/>
    <mergeCell ref="B12:C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9D7E9-1A8B-435D-B4B0-B16A8F5B8874}">
  <sheetPr>
    <tabColor indexed="42"/>
    <pageSetUpPr fitToPage="1"/>
  </sheetPr>
  <dimension ref="A1:AB137"/>
  <sheetViews>
    <sheetView topLeftCell="A23" zoomScale="90" zoomScaleNormal="90" workbookViewId="0">
      <selection activeCell="I34" sqref="I34:I44"/>
    </sheetView>
  </sheetViews>
  <sheetFormatPr defaultColWidth="11.42578125" defaultRowHeight="15.6"/>
  <cols>
    <col min="1" max="1" width="4.85546875" style="2" bestFit="1" customWidth="1"/>
    <col min="2" max="2" width="33" style="2" bestFit="1" customWidth="1"/>
    <col min="3" max="3" width="2" style="2" customWidth="1"/>
    <col min="4" max="4" width="81.28515625" style="2" bestFit="1" customWidth="1"/>
    <col min="5" max="5" width="2" style="2" bestFit="1" customWidth="1"/>
    <col min="6" max="6" width="8.5703125" style="2" customWidth="1"/>
    <col min="7" max="7" width="28.7109375" style="2" bestFit="1" customWidth="1"/>
    <col min="8" max="8" width="4.42578125" style="2" customWidth="1"/>
    <col min="9" max="9" width="23.28515625" style="2" bestFit="1" customWidth="1"/>
    <col min="10" max="10" width="5.5703125" style="2" bestFit="1" customWidth="1"/>
    <col min="11" max="11" width="20.85546875" style="2" bestFit="1" customWidth="1"/>
    <col min="12" max="12" width="3.42578125" style="2" customWidth="1"/>
    <col min="13" max="13" width="19.85546875" style="2" bestFit="1" customWidth="1"/>
    <col min="14" max="14" width="3.85546875" style="2" customWidth="1"/>
    <col min="15" max="15" width="19.85546875" style="2" bestFit="1" customWidth="1"/>
    <col min="16" max="16" width="4.85546875" style="2" customWidth="1"/>
    <col min="17" max="17" width="19" style="2" bestFit="1" customWidth="1"/>
    <col min="18" max="18" width="4.140625" style="2" customWidth="1"/>
    <col min="19" max="19" width="20.42578125" style="2" bestFit="1" customWidth="1"/>
    <col min="20" max="20" width="3.42578125" style="2" customWidth="1"/>
    <col min="21" max="21" width="20.140625" style="2" bestFit="1" customWidth="1"/>
    <col min="22" max="22" width="7.28515625" style="2" bestFit="1" customWidth="1"/>
    <col min="23" max="23" width="11.42578125" style="2" customWidth="1"/>
    <col min="24" max="24" width="14.7109375" style="2" bestFit="1" customWidth="1"/>
    <col min="25" max="25" width="9.85546875" style="2" bestFit="1" customWidth="1"/>
    <col min="26" max="26" width="10.5703125" style="2" bestFit="1" customWidth="1"/>
    <col min="27" max="27" width="10.85546875" style="2" bestFit="1" customWidth="1"/>
    <col min="28" max="28" width="10.42578125" style="2" bestFit="1" customWidth="1"/>
    <col min="29" max="16384" width="11.42578125" style="2"/>
  </cols>
  <sheetData>
    <row r="1" spans="1:22">
      <c r="A1" s="5"/>
      <c r="B1" s="5"/>
      <c r="C1" s="5"/>
      <c r="D1" s="5"/>
      <c r="E1" s="5"/>
      <c r="F1" s="5"/>
      <c r="G1" s="5"/>
      <c r="H1" s="5"/>
      <c r="J1" s="5"/>
      <c r="K1" s="5"/>
      <c r="L1" s="5"/>
      <c r="U1" s="11"/>
      <c r="V1" s="4">
        <v>2025</v>
      </c>
    </row>
    <row r="2" spans="1:22">
      <c r="B2" s="12"/>
      <c r="C2" s="12"/>
      <c r="D2" s="12"/>
      <c r="E2" s="12"/>
      <c r="F2" s="12"/>
      <c r="G2" s="12"/>
      <c r="H2" s="12"/>
      <c r="J2" s="12"/>
      <c r="K2" s="12"/>
      <c r="L2" s="12"/>
      <c r="U2" s="11"/>
    </row>
    <row r="3" spans="1:22">
      <c r="A3" s="350" t="s">
        <v>112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</row>
    <row r="4" spans="1:22">
      <c r="A4" s="351" t="s">
        <v>113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</row>
    <row r="5" spans="1:22">
      <c r="A5" s="350" t="str">
        <f>"For rates effective January 1, 2025"</f>
        <v>For rates effective January 1, 2025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</row>
    <row r="6" spans="1:2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2">
      <c r="A8" s="352" t="s">
        <v>114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  <c r="S8" s="352"/>
      <c r="T8" s="352"/>
      <c r="U8" s="352"/>
    </row>
    <row r="9" spans="1:22">
      <c r="B9" s="14"/>
      <c r="C9" s="14"/>
      <c r="D9" s="9"/>
      <c r="E9" s="9"/>
      <c r="G9" s="15"/>
      <c r="H9" s="9"/>
      <c r="J9" s="9"/>
      <c r="K9" s="9"/>
      <c r="L9" s="9"/>
    </row>
    <row r="10" spans="1:22">
      <c r="B10" s="14"/>
      <c r="C10" s="14"/>
      <c r="D10" s="9"/>
      <c r="E10" s="9"/>
      <c r="F10" s="16"/>
      <c r="G10" s="15"/>
      <c r="H10" s="9"/>
      <c r="I10" s="17" t="s">
        <v>115</v>
      </c>
      <c r="J10" s="9"/>
      <c r="K10" s="18" t="s">
        <v>116</v>
      </c>
      <c r="L10" s="18"/>
      <c r="M10" s="18" t="s">
        <v>117</v>
      </c>
      <c r="O10" s="18" t="s">
        <v>118</v>
      </c>
      <c r="Q10" s="18" t="s">
        <v>119</v>
      </c>
      <c r="S10" s="18" t="s">
        <v>120</v>
      </c>
      <c r="U10" s="18" t="s">
        <v>121</v>
      </c>
    </row>
    <row r="11" spans="1:22">
      <c r="B11" s="14" t="s">
        <v>122</v>
      </c>
      <c r="C11" s="14"/>
      <c r="D11" s="9"/>
      <c r="E11" s="9"/>
      <c r="F11" s="9"/>
      <c r="G11" s="15"/>
      <c r="H11" s="9"/>
      <c r="I11" s="17" t="s">
        <v>123</v>
      </c>
      <c r="J11" s="9"/>
      <c r="K11" s="18" t="s">
        <v>123</v>
      </c>
      <c r="L11" s="18"/>
      <c r="M11" s="18" t="s">
        <v>123</v>
      </c>
      <c r="O11" s="18" t="s">
        <v>123</v>
      </c>
      <c r="Q11" s="18" t="s">
        <v>123</v>
      </c>
      <c r="S11" s="18" t="s">
        <v>123</v>
      </c>
      <c r="U11" s="18" t="s">
        <v>123</v>
      </c>
    </row>
    <row r="12" spans="1:22" ht="15.95" thickBot="1">
      <c r="B12" s="19" t="s">
        <v>124</v>
      </c>
      <c r="C12" s="14"/>
      <c r="D12" s="9"/>
      <c r="E12" s="14"/>
      <c r="F12" s="9"/>
      <c r="G12" s="9"/>
      <c r="H12" s="9"/>
      <c r="I12" s="17" t="s">
        <v>125</v>
      </c>
      <c r="J12" s="9"/>
      <c r="K12" s="17" t="s">
        <v>125</v>
      </c>
      <c r="L12" s="18"/>
      <c r="M12" s="17" t="s">
        <v>125</v>
      </c>
      <c r="O12" s="17" t="s">
        <v>125</v>
      </c>
      <c r="Q12" s="17" t="s">
        <v>125</v>
      </c>
      <c r="S12" s="17" t="s">
        <v>125</v>
      </c>
      <c r="U12" s="17" t="s">
        <v>125</v>
      </c>
    </row>
    <row r="13" spans="1:22">
      <c r="B13" s="14"/>
      <c r="C13" s="14"/>
      <c r="D13" s="9"/>
      <c r="E13" s="14"/>
      <c r="F13" s="9"/>
      <c r="G13" s="9"/>
      <c r="H13" s="9"/>
      <c r="J13" s="9"/>
      <c r="L13" s="9"/>
    </row>
    <row r="14" spans="1:22">
      <c r="A14" s="17" t="s">
        <v>126</v>
      </c>
      <c r="B14" s="20" t="s">
        <v>127</v>
      </c>
      <c r="C14" s="14"/>
      <c r="D14" s="9"/>
      <c r="E14" s="14"/>
      <c r="F14" s="9"/>
      <c r="G14" s="9"/>
      <c r="H14" s="9"/>
      <c r="J14" s="9"/>
      <c r="L14" s="9"/>
    </row>
    <row r="15" spans="1:22">
      <c r="A15" s="17"/>
      <c r="B15" s="14">
        <v>1</v>
      </c>
      <c r="C15" s="14"/>
      <c r="D15" s="5" t="s">
        <v>128</v>
      </c>
      <c r="E15" s="14"/>
      <c r="F15" s="9"/>
      <c r="G15" s="14" t="s">
        <v>129</v>
      </c>
      <c r="H15" s="9"/>
      <c r="I15" s="21">
        <f>SUM(K15,M15,O15,Q15,S15,U15)</f>
        <v>1410917338.9231982</v>
      </c>
      <c r="J15" s="22"/>
      <c r="K15" s="23">
        <v>559565773.72390115</v>
      </c>
      <c r="L15" s="24"/>
      <c r="M15" s="25">
        <v>222506652.50003731</v>
      </c>
      <c r="N15" s="26"/>
      <c r="O15" s="25">
        <v>107521697.0843986</v>
      </c>
      <c r="P15" s="26"/>
      <c r="Q15" s="25">
        <v>7766130.9145399369</v>
      </c>
      <c r="R15" s="26"/>
      <c r="S15" s="25">
        <v>497505783.43546569</v>
      </c>
      <c r="T15" s="26"/>
      <c r="U15" s="25">
        <v>16051301.264855489</v>
      </c>
    </row>
    <row r="16" spans="1:22">
      <c r="A16" s="17"/>
      <c r="B16" s="14"/>
      <c r="C16" s="14"/>
      <c r="D16" s="5"/>
      <c r="E16" s="14"/>
      <c r="F16" s="9"/>
      <c r="G16" s="9"/>
      <c r="H16" s="9"/>
      <c r="I16" s="21"/>
      <c r="J16" s="22"/>
      <c r="K16" s="26"/>
      <c r="L16" s="24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17"/>
      <c r="B17" s="14">
        <f>+B15+1</f>
        <v>2</v>
      </c>
      <c r="C17" s="14"/>
      <c r="D17" s="9" t="s">
        <v>130</v>
      </c>
      <c r="E17" s="14"/>
      <c r="F17" s="9"/>
      <c r="G17" s="14" t="s">
        <v>131</v>
      </c>
      <c r="H17" s="9"/>
      <c r="I17" s="21">
        <f>SUM(K17,M17,O17,Q17,S17,U17)</f>
        <v>43836733.882830665</v>
      </c>
      <c r="J17" s="22"/>
      <c r="K17" s="25">
        <v>11605027.657431023</v>
      </c>
      <c r="L17" s="24"/>
      <c r="M17" s="25">
        <v>8288694.3466460332</v>
      </c>
      <c r="N17" s="26"/>
      <c r="O17" s="25">
        <v>514669.88577375311</v>
      </c>
      <c r="P17" s="26"/>
      <c r="Q17" s="25">
        <v>291874.18416688824</v>
      </c>
      <c r="R17" s="26"/>
      <c r="S17" s="25">
        <v>19212762.272064421</v>
      </c>
      <c r="T17" s="26"/>
      <c r="U17" s="25">
        <v>3923705.5367485438</v>
      </c>
    </row>
    <row r="18" spans="1:21">
      <c r="A18" s="17"/>
      <c r="B18" s="20"/>
      <c r="C18" s="14"/>
      <c r="D18" s="9"/>
      <c r="E18" s="14"/>
      <c r="F18" s="9"/>
      <c r="G18" s="9"/>
      <c r="H18" s="9"/>
      <c r="I18" s="27"/>
      <c r="J18" s="22"/>
      <c r="K18" s="27"/>
      <c r="L18" s="22"/>
      <c r="M18" s="27"/>
      <c r="N18" s="10"/>
      <c r="O18" s="27"/>
      <c r="P18" s="10"/>
      <c r="Q18" s="27"/>
      <c r="R18" s="10"/>
      <c r="S18" s="27"/>
      <c r="T18" s="10"/>
      <c r="U18" s="27"/>
    </row>
    <row r="19" spans="1:21" ht="33.75" customHeight="1">
      <c r="B19" s="14">
        <f>+B17+1</f>
        <v>3</v>
      </c>
      <c r="C19" s="14"/>
      <c r="D19" s="353" t="s">
        <v>132</v>
      </c>
      <c r="E19" s="353"/>
      <c r="F19" s="28"/>
      <c r="G19" s="14" t="s">
        <v>133</v>
      </c>
      <c r="H19" s="12"/>
      <c r="I19" s="10">
        <f>SUM(K19,M19,O19,Q19,S19,U19)</f>
        <v>1367080605.0403676</v>
      </c>
      <c r="J19" s="22"/>
      <c r="K19" s="22">
        <f>+K15-K17</f>
        <v>547960746.06647015</v>
      </c>
      <c r="L19" s="22"/>
      <c r="M19" s="22">
        <f>+M15-M17</f>
        <v>214217958.15339127</v>
      </c>
      <c r="N19" s="10"/>
      <c r="O19" s="22">
        <f>+O15-O17</f>
        <v>107007027.19862485</v>
      </c>
      <c r="P19" s="10"/>
      <c r="Q19" s="22">
        <f>+Q15-Q17</f>
        <v>7474256.7303730492</v>
      </c>
      <c r="R19" s="10"/>
      <c r="S19" s="22">
        <f>+S15-S17</f>
        <v>478293021.16340125</v>
      </c>
      <c r="T19" s="10"/>
      <c r="U19" s="22">
        <f>+U15-U17</f>
        <v>12127595.728106946</v>
      </c>
    </row>
    <row r="20" spans="1:21">
      <c r="B20" s="14"/>
      <c r="C20" s="14"/>
      <c r="D20" s="5"/>
      <c r="E20" s="9"/>
      <c r="F20" s="28"/>
      <c r="G20" s="12"/>
      <c r="H20" s="12"/>
      <c r="I20" s="10"/>
      <c r="J20" s="22"/>
      <c r="K20" s="22"/>
      <c r="L20" s="22"/>
      <c r="M20" s="22"/>
      <c r="N20" s="10"/>
      <c r="O20" s="22"/>
      <c r="P20" s="10"/>
      <c r="Q20" s="22"/>
      <c r="R20" s="10"/>
      <c r="S20" s="22"/>
      <c r="T20" s="10"/>
      <c r="U20" s="22"/>
    </row>
    <row r="21" spans="1:21">
      <c r="B21" s="14">
        <f>+B19+1</f>
        <v>4</v>
      </c>
      <c r="C21" s="14"/>
      <c r="D21" s="5" t="s">
        <v>134</v>
      </c>
      <c r="E21" s="9"/>
      <c r="F21" s="28"/>
      <c r="G21" s="12"/>
      <c r="H21" s="12"/>
      <c r="I21" s="10"/>
      <c r="J21" s="22"/>
      <c r="K21" s="10"/>
      <c r="L21" s="22"/>
      <c r="M21" s="10"/>
      <c r="N21" s="10"/>
      <c r="O21" s="10"/>
      <c r="P21" s="10"/>
      <c r="Q21" s="10"/>
      <c r="R21" s="10"/>
      <c r="S21" s="10"/>
      <c r="T21" s="10"/>
      <c r="U21" s="10"/>
    </row>
    <row r="22" spans="1:21">
      <c r="B22" s="14">
        <f>+B21+1</f>
        <v>5</v>
      </c>
      <c r="C22" s="14"/>
      <c r="D22" s="5" t="s">
        <v>135</v>
      </c>
      <c r="E22" s="9"/>
      <c r="F22" s="28"/>
      <c r="G22" s="14" t="s">
        <v>136</v>
      </c>
      <c r="H22" s="12"/>
      <c r="I22" s="29">
        <f>SUM(K22,M22,O22,Q22,S22,U22)</f>
        <v>43924196.57904157</v>
      </c>
      <c r="J22" s="30"/>
      <c r="K22" s="31">
        <v>27589930.064909387</v>
      </c>
      <c r="L22" s="32"/>
      <c r="M22" s="31">
        <v>7354071.1877318174</v>
      </c>
      <c r="N22" s="31"/>
      <c r="O22" s="31">
        <v>0</v>
      </c>
      <c r="P22" s="31"/>
      <c r="Q22" s="31">
        <v>0</v>
      </c>
      <c r="R22" s="31"/>
      <c r="S22" s="31">
        <v>8871135.4438028429</v>
      </c>
      <c r="T22" s="31"/>
      <c r="U22" s="31">
        <v>109059.8825975317</v>
      </c>
    </row>
    <row r="23" spans="1:21">
      <c r="B23" s="14">
        <f>+B22+1</f>
        <v>6</v>
      </c>
      <c r="C23" s="14"/>
      <c r="D23" s="5" t="s">
        <v>137</v>
      </c>
      <c r="E23" s="9"/>
      <c r="F23" s="28"/>
      <c r="G23" s="14" t="str">
        <f>"(Worksheet J)"</f>
        <v>(Worksheet J)</v>
      </c>
      <c r="H23" s="12"/>
      <c r="I23" s="33">
        <f>SUM(K23,M23,O23,Q23,S23,U23)</f>
        <v>0</v>
      </c>
      <c r="J23" s="30"/>
      <c r="K23" s="34">
        <v>0</v>
      </c>
      <c r="L23" s="35"/>
      <c r="M23" s="34">
        <v>0</v>
      </c>
      <c r="N23" s="29"/>
      <c r="O23" s="34">
        <v>0</v>
      </c>
      <c r="P23" s="29"/>
      <c r="Q23" s="34">
        <v>0</v>
      </c>
      <c r="R23" s="29"/>
      <c r="S23" s="34">
        <v>0</v>
      </c>
      <c r="T23" s="29"/>
      <c r="U23" s="34">
        <v>0</v>
      </c>
    </row>
    <row r="24" spans="1:21">
      <c r="B24" s="14">
        <f>+B23+1</f>
        <v>7</v>
      </c>
      <c r="C24" s="14"/>
      <c r="D24" s="36" t="s">
        <v>138</v>
      </c>
      <c r="E24" s="9" t="s">
        <v>30</v>
      </c>
      <c r="F24" s="28"/>
      <c r="G24" s="12"/>
      <c r="H24" s="12"/>
      <c r="I24" s="35">
        <f>+I23+I22</f>
        <v>43924196.57904157</v>
      </c>
      <c r="J24" s="30"/>
      <c r="K24" s="35">
        <f>+K23+K22</f>
        <v>27589930.064909387</v>
      </c>
      <c r="L24" s="35"/>
      <c r="M24" s="35">
        <f>+M23+M22</f>
        <v>7354071.1877318174</v>
      </c>
      <c r="N24" s="29"/>
      <c r="O24" s="35">
        <f>+O23+O22</f>
        <v>0</v>
      </c>
      <c r="P24" s="29"/>
      <c r="Q24" s="35">
        <f>+Q23+Q22</f>
        <v>0</v>
      </c>
      <c r="R24" s="29"/>
      <c r="S24" s="35">
        <f>+S23+S22</f>
        <v>8871135.4438028429</v>
      </c>
      <c r="T24" s="29"/>
      <c r="U24" s="35">
        <f>+U23+U22</f>
        <v>109059.8825975317</v>
      </c>
    </row>
    <row r="25" spans="1:21">
      <c r="B25" s="14"/>
      <c r="C25" s="14"/>
      <c r="D25" s="5"/>
      <c r="E25" s="9"/>
      <c r="F25" s="28"/>
      <c r="G25" s="12"/>
      <c r="H25" s="12"/>
      <c r="I25" s="37"/>
      <c r="J25" s="22"/>
      <c r="K25" s="38"/>
      <c r="L25" s="39"/>
      <c r="M25" s="38"/>
      <c r="N25" s="10"/>
      <c r="O25" s="38"/>
      <c r="P25" s="10"/>
      <c r="Q25" s="38"/>
      <c r="R25" s="10"/>
      <c r="S25" s="40"/>
      <c r="T25" s="10"/>
      <c r="U25" s="38"/>
    </row>
    <row r="26" spans="1:21">
      <c r="B26" s="14">
        <f>+B24+1</f>
        <v>8</v>
      </c>
      <c r="C26" s="14"/>
      <c r="D26" s="5" t="s">
        <v>139</v>
      </c>
      <c r="E26" s="9"/>
      <c r="G26" s="28" t="str">
        <f>"(Ln "&amp;B19&amp;"- Ln "&amp;B24&amp;")"</f>
        <v>(Ln 3- Ln 7)</v>
      </c>
      <c r="H26" s="12"/>
      <c r="I26" s="10">
        <f>SUM(K26,M26,O26,Q26,S26,U26)</f>
        <v>1323156408.4613261</v>
      </c>
      <c r="J26" s="22"/>
      <c r="K26" s="39">
        <f>+K19-K24</f>
        <v>520370816.00156075</v>
      </c>
      <c r="L26" s="39"/>
      <c r="M26" s="39">
        <f>+M19-M24</f>
        <v>206863886.96565944</v>
      </c>
      <c r="N26" s="10"/>
      <c r="O26" s="39">
        <f>+O19-O24</f>
        <v>107007027.19862485</v>
      </c>
      <c r="P26" s="10"/>
      <c r="Q26" s="39">
        <f>+Q19-Q24</f>
        <v>7474256.7303730492</v>
      </c>
      <c r="R26" s="10"/>
      <c r="S26" s="41">
        <f>+S19-S24</f>
        <v>469421885.71959841</v>
      </c>
      <c r="T26" s="10"/>
      <c r="U26" s="39">
        <f>+U19-U24</f>
        <v>12018535.845509414</v>
      </c>
    </row>
    <row r="27" spans="1:21">
      <c r="C27" s="14"/>
      <c r="E27" s="9"/>
      <c r="G27" s="12"/>
      <c r="H27" s="12"/>
      <c r="I27" s="10"/>
      <c r="J27" s="22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>
      <c r="B28" s="14">
        <f>+B26+1</f>
        <v>9</v>
      </c>
      <c r="C28" s="14"/>
      <c r="D28" s="5" t="s">
        <v>140</v>
      </c>
      <c r="E28" s="9"/>
      <c r="F28" s="28"/>
      <c r="G28" s="14" t="str">
        <f>"(Worksheet J)"</f>
        <v>(Worksheet J)</v>
      </c>
      <c r="H28" s="12"/>
      <c r="I28" s="21">
        <f>SUM(K28,M28,O28,Q28,S28,U28)</f>
        <v>0</v>
      </c>
      <c r="J28" s="22"/>
      <c r="K28" s="42">
        <v>0</v>
      </c>
      <c r="L28" s="43"/>
      <c r="M28" s="42">
        <v>0</v>
      </c>
      <c r="N28" s="26"/>
      <c r="O28" s="42">
        <v>0</v>
      </c>
      <c r="P28" s="26"/>
      <c r="Q28" s="42">
        <v>0</v>
      </c>
      <c r="R28" s="26"/>
      <c r="S28" s="42">
        <v>0</v>
      </c>
      <c r="T28" s="26"/>
      <c r="U28" s="42">
        <v>0</v>
      </c>
    </row>
    <row r="29" spans="1:21">
      <c r="B29" s="14"/>
      <c r="C29" s="14"/>
      <c r="D29" s="5"/>
      <c r="E29" s="9"/>
      <c r="F29" s="28"/>
      <c r="G29" s="12"/>
      <c r="H29" s="12"/>
      <c r="I29" s="37"/>
      <c r="J29" s="22"/>
      <c r="K29" s="38"/>
      <c r="L29" s="39"/>
      <c r="M29" s="40"/>
      <c r="N29" s="10"/>
      <c r="O29" s="38"/>
      <c r="P29" s="10"/>
      <c r="Q29" s="38"/>
      <c r="R29" s="10"/>
      <c r="S29" s="40"/>
      <c r="T29" s="10"/>
      <c r="U29" s="38"/>
    </row>
    <row r="30" spans="1:21">
      <c r="B30" s="14">
        <f>+B28+1</f>
        <v>10</v>
      </c>
      <c r="C30" s="14"/>
      <c r="D30" s="5" t="s">
        <v>141</v>
      </c>
      <c r="E30" s="9"/>
      <c r="G30" s="28" t="str">
        <f>"(Ln "&amp;B26&amp;" + Ln "&amp;B28&amp;")"</f>
        <v>(Ln 8 + Ln 9)</v>
      </c>
      <c r="H30" s="12"/>
      <c r="I30" s="21">
        <f>+I26+I28</f>
        <v>1323156408.4613261</v>
      </c>
      <c r="J30" s="22"/>
      <c r="K30" s="39">
        <f>+K26+K28</f>
        <v>520370816.00156075</v>
      </c>
      <c r="L30" s="39"/>
      <c r="M30" s="41">
        <f>+M26+M28</f>
        <v>206863886.96565944</v>
      </c>
      <c r="N30" s="10"/>
      <c r="O30" s="39">
        <f>+O26+O28</f>
        <v>107007027.19862485</v>
      </c>
      <c r="P30" s="10"/>
      <c r="Q30" s="39">
        <f>+Q26+Q28</f>
        <v>7474256.7303730492</v>
      </c>
      <c r="R30" s="10"/>
      <c r="S30" s="41">
        <f>+S26+S28</f>
        <v>469421885.71959841</v>
      </c>
      <c r="T30" s="10"/>
      <c r="U30" s="39">
        <f>+U26+U28</f>
        <v>12018535.845509414</v>
      </c>
    </row>
    <row r="31" spans="1:21"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idden="1">
      <c r="B32" s="14">
        <f>+B30+1</f>
        <v>11</v>
      </c>
      <c r="C32" s="14"/>
      <c r="D32" s="5" t="str">
        <f>"BILLED HISTORICAL YEAR ("&amp;V1-1&amp;") ACTUAL ATRR"</f>
        <v>BILLED HISTORICAL YEAR (2024) ACTUAL ATRR</v>
      </c>
      <c r="E32" s="9"/>
      <c r="F32" s="28"/>
      <c r="G32" s="44" t="str">
        <f>"Input from "&amp;V1-1&amp;" True-up"</f>
        <v>Input from 2024 True-up</v>
      </c>
      <c r="H32" s="12"/>
      <c r="I32" s="45">
        <f>SUM(K32,M32,O32,Q32,S32,U32)</f>
        <v>0</v>
      </c>
      <c r="J32" s="22"/>
      <c r="K32" s="42">
        <v>0</v>
      </c>
      <c r="L32" s="43"/>
      <c r="M32" s="42">
        <v>0</v>
      </c>
      <c r="N32" s="26"/>
      <c r="O32" s="42">
        <v>0</v>
      </c>
      <c r="P32" s="26"/>
      <c r="Q32" s="42">
        <v>0</v>
      </c>
      <c r="R32" s="26"/>
      <c r="S32" s="42">
        <v>0</v>
      </c>
      <c r="T32" s="26"/>
      <c r="U32" s="42">
        <v>0</v>
      </c>
    </row>
    <row r="33" spans="1:28" hidden="1">
      <c r="B33" s="14">
        <f>+B32+1</f>
        <v>12</v>
      </c>
      <c r="C33" s="14"/>
      <c r="D33" s="5" t="str">
        <f>"BILLED PROJECTED ("&amp;V1-1&amp;") ATRR FROM PRIOR YEAR"</f>
        <v>BILLED PROJECTED (2024) ATRR FROM PRIOR YEAR</v>
      </c>
      <c r="E33" s="9"/>
      <c r="F33" s="28"/>
      <c r="G33" s="44" t="s">
        <v>142</v>
      </c>
      <c r="H33" s="12"/>
      <c r="I33" s="46">
        <f>SUM(K33,M33,O33,Q33,S33,U33)</f>
        <v>0</v>
      </c>
      <c r="J33" s="22"/>
      <c r="K33" s="47">
        <v>0</v>
      </c>
      <c r="L33" s="43"/>
      <c r="M33" s="47">
        <v>0</v>
      </c>
      <c r="N33" s="26"/>
      <c r="O33" s="47">
        <v>0</v>
      </c>
      <c r="P33" s="26"/>
      <c r="Q33" s="47">
        <v>0</v>
      </c>
      <c r="R33" s="26"/>
      <c r="S33" s="47">
        <v>0</v>
      </c>
      <c r="T33" s="26"/>
      <c r="U33" s="47">
        <v>0</v>
      </c>
    </row>
    <row r="34" spans="1:28">
      <c r="B34" s="14">
        <f>+B30+1</f>
        <v>11</v>
      </c>
      <c r="C34" s="14"/>
      <c r="D34" s="5" t="s">
        <v>143</v>
      </c>
      <c r="E34" s="9"/>
      <c r="F34" s="28"/>
      <c r="G34" s="28" t="s">
        <v>144</v>
      </c>
      <c r="H34" s="12"/>
      <c r="I34" s="10">
        <f>SUM(K34,M34,O34,Q34,S34,U34)</f>
        <v>-67367135.541287869</v>
      </c>
      <c r="J34" s="48"/>
      <c r="K34" s="48">
        <v>-43160628.899485238</v>
      </c>
      <c r="L34" s="48"/>
      <c r="M34" s="48">
        <v>-6261113.1509251324</v>
      </c>
      <c r="N34" s="48"/>
      <c r="O34" s="48">
        <v>2258560.2767313016</v>
      </c>
      <c r="P34" s="48"/>
      <c r="Q34" s="48">
        <v>83945.759737110289</v>
      </c>
      <c r="R34" s="48"/>
      <c r="S34" s="48">
        <v>-21035326.487950854</v>
      </c>
      <c r="T34" s="48"/>
      <c r="U34" s="48">
        <v>747426.9606049367</v>
      </c>
    </row>
    <row r="35" spans="1:28">
      <c r="B35" s="14"/>
      <c r="C35" s="14"/>
      <c r="D35" s="5"/>
      <c r="E35" s="9"/>
      <c r="F35" s="28"/>
      <c r="G35" s="28"/>
      <c r="H35" s="12"/>
      <c r="I35" s="10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</row>
    <row r="36" spans="1:28">
      <c r="B36" s="49" t="s">
        <v>145</v>
      </c>
      <c r="D36" s="5" t="s">
        <v>146</v>
      </c>
      <c r="E36" s="9"/>
      <c r="F36" s="28"/>
      <c r="G36" s="44" t="s">
        <v>147</v>
      </c>
      <c r="H36" s="12"/>
      <c r="I36" s="10">
        <f>SUM(K36,M36,O36,Q36,S36,U36)</f>
        <v>10058192.314254154</v>
      </c>
      <c r="J36" s="22"/>
      <c r="K36" s="39"/>
      <c r="L36" s="39"/>
      <c r="M36" s="41">
        <v>343910.31425415445</v>
      </c>
      <c r="N36" s="10"/>
      <c r="O36" s="39"/>
      <c r="P36" s="10"/>
      <c r="Q36" s="39"/>
      <c r="R36" s="10"/>
      <c r="S36" s="41">
        <v>9714282</v>
      </c>
      <c r="T36" s="10"/>
      <c r="U36" s="39"/>
    </row>
    <row r="37" spans="1:28">
      <c r="B37" s="49"/>
      <c r="D37" s="5"/>
      <c r="E37" s="9"/>
      <c r="F37" s="28"/>
      <c r="G37" s="44"/>
      <c r="H37" s="12"/>
      <c r="I37" s="21"/>
      <c r="J37" s="22"/>
      <c r="K37" s="39"/>
      <c r="L37" s="39"/>
      <c r="M37" s="41"/>
      <c r="N37" s="10"/>
      <c r="O37" s="39"/>
      <c r="P37" s="10"/>
      <c r="Q37" s="39"/>
      <c r="R37" s="10"/>
      <c r="S37" s="41"/>
      <c r="T37" s="10"/>
      <c r="U37" s="39"/>
    </row>
    <row r="38" spans="1:28">
      <c r="B38" s="49" t="s">
        <v>148</v>
      </c>
      <c r="D38" s="5" t="s">
        <v>149</v>
      </c>
      <c r="E38" s="9"/>
      <c r="F38" s="28"/>
      <c r="G38" s="44"/>
      <c r="H38" s="12"/>
      <c r="I38" s="50">
        <f>SUM(K38,M38,O38,Q38,S38,U38)</f>
        <v>-11134182.340798557</v>
      </c>
      <c r="J38" s="22"/>
      <c r="K38" s="48">
        <v>-3425660.8676619469</v>
      </c>
      <c r="L38" s="48"/>
      <c r="M38" s="48">
        <v>-5697233.9898542212</v>
      </c>
      <c r="N38" s="48"/>
      <c r="O38" s="48">
        <v>-1674520.9962452902</v>
      </c>
      <c r="P38" s="48"/>
      <c r="Q38" s="48">
        <v>-323569.65046126442</v>
      </c>
      <c r="R38" s="48"/>
      <c r="S38" s="48">
        <v>0</v>
      </c>
      <c r="T38" s="48"/>
      <c r="U38" s="48">
        <v>-13196.836575836585</v>
      </c>
    </row>
    <row r="39" spans="1:28">
      <c r="B39" s="49"/>
      <c r="D39" s="5"/>
      <c r="E39" s="9"/>
      <c r="F39" s="28"/>
      <c r="G39" s="44"/>
      <c r="H39" s="12"/>
      <c r="I39" s="50"/>
      <c r="J39" s="22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</row>
    <row r="40" spans="1:28">
      <c r="B40" s="49" t="s">
        <v>150</v>
      </c>
      <c r="D40" s="5" t="s">
        <v>151</v>
      </c>
      <c r="E40" s="9"/>
      <c r="F40" s="28"/>
      <c r="G40" s="44"/>
      <c r="H40" s="12"/>
      <c r="I40" s="50">
        <f>SUM(K40,M40,O40,Q40,S40,U40)</f>
        <v>-526259.44403880124</v>
      </c>
      <c r="J40" s="22"/>
      <c r="K40" s="48">
        <v>-158937.22805463511</v>
      </c>
      <c r="L40" s="48"/>
      <c r="M40" s="48">
        <v>-108227.19477462504</v>
      </c>
      <c r="N40" s="48"/>
      <c r="O40" s="48">
        <v>-29570.203910298365</v>
      </c>
      <c r="P40" s="48"/>
      <c r="Q40" s="48">
        <v>-5407.1363043161782</v>
      </c>
      <c r="R40" s="48"/>
      <c r="S40" s="48">
        <v>-216218.82058169818</v>
      </c>
      <c r="T40" s="48"/>
      <c r="U40" s="48">
        <v>-7898.8604132283481</v>
      </c>
    </row>
    <row r="41" spans="1:28">
      <c r="B41" s="49"/>
      <c r="D41" s="5"/>
      <c r="E41" s="9"/>
      <c r="F41" s="28"/>
      <c r="G41" s="44"/>
      <c r="H41" s="12"/>
      <c r="I41" s="50"/>
      <c r="J41" s="22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</row>
    <row r="42" spans="1:28">
      <c r="B42" s="49" t="s">
        <v>152</v>
      </c>
      <c r="D42" s="5" t="s">
        <v>153</v>
      </c>
      <c r="E42" s="9"/>
      <c r="F42" s="28"/>
      <c r="G42" s="44"/>
      <c r="H42" s="12"/>
      <c r="I42" s="50">
        <f>SUM(K42,M42,O42,Q42,S42,U42)</f>
        <v>-1059603.8764816632</v>
      </c>
      <c r="J42" s="22"/>
      <c r="K42" s="48"/>
      <c r="L42" s="48"/>
      <c r="M42" s="48">
        <v>-1059603.8764816632</v>
      </c>
      <c r="N42" s="48"/>
      <c r="O42" s="48"/>
      <c r="P42" s="48"/>
      <c r="Q42" s="48"/>
      <c r="R42" s="48"/>
      <c r="S42" s="48"/>
      <c r="T42" s="48"/>
      <c r="U42" s="48"/>
    </row>
    <row r="43" spans="1:28" ht="15" customHeight="1">
      <c r="B43" s="49"/>
      <c r="D43" s="5"/>
      <c r="E43" s="9"/>
      <c r="F43" s="28"/>
      <c r="G43" s="44"/>
      <c r="H43" s="12"/>
      <c r="I43" s="21"/>
      <c r="J43" s="22"/>
      <c r="K43" s="39"/>
      <c r="L43" s="39"/>
      <c r="M43" s="41"/>
      <c r="N43" s="10"/>
      <c r="O43" s="39"/>
      <c r="P43" s="10"/>
      <c r="Q43" s="39"/>
      <c r="R43" s="10"/>
      <c r="S43" s="41"/>
      <c r="T43" s="10"/>
      <c r="U43" s="39"/>
    </row>
    <row r="44" spans="1:28" ht="15" customHeight="1">
      <c r="B44" s="49" t="s">
        <v>154</v>
      </c>
      <c r="D44" s="5" t="s">
        <v>155</v>
      </c>
      <c r="E44" s="9"/>
      <c r="F44" s="28"/>
      <c r="G44" s="44"/>
      <c r="H44" s="12"/>
      <c r="I44" s="50">
        <f>SUM(K44,M44,O44,Q44,S44,U44)</f>
        <v>-393739.89252976922</v>
      </c>
      <c r="J44" s="22"/>
      <c r="K44" s="48">
        <v>-40649.349542893295</v>
      </c>
      <c r="L44" s="48"/>
      <c r="M44" s="48">
        <v>-10083.500221914854</v>
      </c>
      <c r="N44" s="48"/>
      <c r="O44" s="48">
        <v>-153.52139967851366</v>
      </c>
      <c r="P44" s="48"/>
      <c r="Q44" s="48">
        <v>-10.315752925541503</v>
      </c>
      <c r="R44" s="48"/>
      <c r="S44" s="48">
        <v>-342820.17788799078</v>
      </c>
      <c r="T44" s="48"/>
      <c r="U44" s="48">
        <v>-23.027724366203813</v>
      </c>
    </row>
    <row r="45" spans="1:28" ht="15" customHeight="1" thickBot="1">
      <c r="B45" s="49"/>
      <c r="D45" s="5"/>
      <c r="E45" s="9"/>
      <c r="F45" s="28"/>
      <c r="G45" s="44"/>
      <c r="H45" s="12"/>
      <c r="I45" s="21"/>
      <c r="J45" s="22"/>
      <c r="K45" s="39"/>
      <c r="L45" s="39"/>
      <c r="M45" s="41"/>
      <c r="N45" s="10"/>
      <c r="O45" s="39"/>
      <c r="P45" s="10"/>
      <c r="Q45" s="39"/>
      <c r="R45" s="10"/>
      <c r="S45" s="41"/>
      <c r="T45" s="10"/>
      <c r="U45" s="39"/>
    </row>
    <row r="46" spans="1:28" ht="15.95" thickBot="1">
      <c r="B46" s="14">
        <f>+B34+1</f>
        <v>12</v>
      </c>
      <c r="C46" s="14"/>
      <c r="D46" s="51" t="s">
        <v>156</v>
      </c>
      <c r="E46" s="52"/>
      <c r="F46" s="53"/>
      <c r="G46" s="54" t="str">
        <f>"(Ln "&amp;B30&amp;" + Ln "&amp;B34&amp;")"</f>
        <v>(Ln 10 + Ln 11)</v>
      </c>
      <c r="H46" s="55"/>
      <c r="I46" s="56">
        <f>+I30+I34+I36+I38+I40+I42+I44</f>
        <v>1252733679.6804433</v>
      </c>
      <c r="J46" s="22"/>
      <c r="K46" s="56">
        <f>+K30+K34+K36+K38+K40+K42+K44</f>
        <v>473584939.65681601</v>
      </c>
      <c r="L46" s="22"/>
      <c r="M46" s="56">
        <f>+M30+M34+M36+M38+M40+M42+M44</f>
        <v>194071535.56765607</v>
      </c>
      <c r="N46" s="10"/>
      <c r="O46" s="56">
        <f>+O30+O34+O36+O38+O40+O42+O44</f>
        <v>107561342.75380088</v>
      </c>
      <c r="P46" s="10"/>
      <c r="Q46" s="56">
        <f>+Q30+Q34+Q36+Q38+Q40+Q42+Q44</f>
        <v>7229215.3875916535</v>
      </c>
      <c r="R46" s="10"/>
      <c r="S46" s="56">
        <f>+S30+S34+S36+S38+S40+S42+S44</f>
        <v>457541802.2331779</v>
      </c>
      <c r="T46" s="10"/>
      <c r="U46" s="56">
        <f>+U30+U34+U36+U38+U40+U42+U44</f>
        <v>12744844.081400918</v>
      </c>
      <c r="W46" s="109"/>
      <c r="X46" s="110"/>
      <c r="Y46" s="110"/>
      <c r="Z46" s="110"/>
      <c r="AA46" s="110"/>
      <c r="AB46" s="110"/>
    </row>
    <row r="47" spans="1:28">
      <c r="B47" s="14"/>
      <c r="C47" s="14"/>
      <c r="D47" s="5"/>
      <c r="E47" s="9"/>
      <c r="G47" s="28"/>
      <c r="H47" s="12"/>
      <c r="I47" s="22"/>
      <c r="J47" s="12"/>
      <c r="L47" s="22"/>
      <c r="N47" s="22"/>
      <c r="P47" s="109"/>
      <c r="Q47" s="110"/>
      <c r="R47" s="110"/>
      <c r="S47" s="110"/>
      <c r="T47" s="110"/>
      <c r="U47" s="110"/>
    </row>
    <row r="48" spans="1:28">
      <c r="A48" s="17" t="s">
        <v>157</v>
      </c>
      <c r="B48" s="20" t="s">
        <v>158</v>
      </c>
      <c r="C48" s="14"/>
      <c r="D48" s="9"/>
      <c r="E48" s="1" t="s">
        <v>30</v>
      </c>
      <c r="F48" s="9"/>
      <c r="G48" s="9"/>
      <c r="H48" s="9"/>
      <c r="I48" s="22"/>
      <c r="J48" s="9"/>
      <c r="K48" s="26"/>
      <c r="L48" s="57"/>
      <c r="M48" s="26"/>
      <c r="N48" s="57"/>
      <c r="P48" s="109"/>
      <c r="Q48" s="110"/>
      <c r="R48" s="110"/>
      <c r="S48" s="110"/>
      <c r="T48" s="110"/>
      <c r="U48" s="110"/>
    </row>
    <row r="49" spans="1:28">
      <c r="B49" s="14">
        <f>+B46+1</f>
        <v>13</v>
      </c>
      <c r="C49" s="14"/>
      <c r="D49" s="5" t="str">
        <f>""&amp;V1&amp;" AEP East Zone Network Service Peak Load (1 CP)"</f>
        <v>2025 AEP East Zone Network Service Peak Load (1 CP)</v>
      </c>
      <c r="E49" s="9"/>
      <c r="F49" s="28"/>
      <c r="G49" s="44"/>
      <c r="H49" s="12"/>
      <c r="I49" s="58">
        <v>22318</v>
      </c>
      <c r="J49" s="12" t="s">
        <v>77</v>
      </c>
      <c r="L49" s="22"/>
      <c r="N49" s="22"/>
      <c r="P49" s="109"/>
      <c r="Q49" s="110"/>
      <c r="R49" s="110"/>
      <c r="S49" s="110"/>
      <c r="T49" s="110"/>
      <c r="U49" s="110"/>
    </row>
    <row r="50" spans="1:28">
      <c r="B50" s="5"/>
      <c r="C50" s="5"/>
      <c r="D50" s="5"/>
      <c r="E50" s="5"/>
      <c r="F50" s="5"/>
      <c r="G50" s="13"/>
      <c r="H50" s="5"/>
      <c r="I50" s="4"/>
      <c r="J50" s="5"/>
      <c r="K50" s="5"/>
      <c r="L50" s="5"/>
      <c r="M50" s="5"/>
      <c r="N50" s="5"/>
      <c r="O50" s="5"/>
      <c r="P50" s="109"/>
      <c r="Q50" s="110"/>
      <c r="R50" s="110"/>
      <c r="S50" s="110"/>
      <c r="T50" s="110"/>
      <c r="U50" s="110"/>
    </row>
    <row r="51" spans="1:28">
      <c r="B51" s="14">
        <f>+B49+1</f>
        <v>14</v>
      </c>
      <c r="C51" s="5"/>
      <c r="D51" s="5" t="str">
        <f>"Annual Point-to-Point Rate in $/MW - Year"</f>
        <v>Annual Point-to-Point Rate in $/MW - Year</v>
      </c>
      <c r="E51" s="5"/>
      <c r="F51" s="5"/>
      <c r="G51" s="59" t="str">
        <f>"(Ln "&amp;B46&amp;" / Ln "&amp;B49&amp;")"</f>
        <v>(Ln 12 / Ln 13)</v>
      </c>
      <c r="H51" s="5"/>
      <c r="I51" s="2">
        <f>ROUND(+I46/I49,4)</f>
        <v>56131.090600000003</v>
      </c>
      <c r="J51" s="5"/>
      <c r="K51" s="5"/>
      <c r="L51" s="5"/>
      <c r="M51" s="5"/>
      <c r="N51" s="5"/>
      <c r="O51" s="5"/>
      <c r="P51" s="109"/>
      <c r="Q51" s="110"/>
      <c r="R51" s="110"/>
      <c r="S51" s="110"/>
      <c r="T51" s="110"/>
      <c r="U51" s="110"/>
    </row>
    <row r="52" spans="1:28">
      <c r="B52" s="14">
        <f t="shared" ref="B52:B57" si="0">+B51+1</f>
        <v>15</v>
      </c>
      <c r="C52" s="5"/>
      <c r="D52" s="5" t="str">
        <f>"Monthly Point-to-Point Rate in $/MW - Month"</f>
        <v>Monthly Point-to-Point Rate in $/MW - Month</v>
      </c>
      <c r="E52" s="5"/>
      <c r="F52" s="5"/>
      <c r="G52" s="59" t="str">
        <f>"(Ln "&amp;B51&amp;" / 12)"</f>
        <v>(Ln 14 / 12)</v>
      </c>
      <c r="H52" s="5"/>
      <c r="I52" s="2">
        <f>ROUND(+I$51/12,4)</f>
        <v>4677.5909000000001</v>
      </c>
      <c r="J52" s="5"/>
      <c r="K52" s="5"/>
      <c r="L52" s="5"/>
      <c r="M52" s="5"/>
      <c r="N52" s="5"/>
      <c r="O52" s="5"/>
      <c r="P52" s="109"/>
      <c r="Q52" s="110"/>
      <c r="R52" s="110"/>
      <c r="S52" s="110"/>
      <c r="T52" s="110"/>
      <c r="U52" s="110"/>
    </row>
    <row r="53" spans="1:28">
      <c r="B53" s="14">
        <f t="shared" si="0"/>
        <v>16</v>
      </c>
      <c r="C53" s="5"/>
      <c r="D53" s="5" t="str">
        <f>"Weekly Point-to-Point Rate in $/MW - Weekly"</f>
        <v>Weekly Point-to-Point Rate in $/MW - Weekly</v>
      </c>
      <c r="E53" s="5"/>
      <c r="F53" s="5"/>
      <c r="G53" s="59" t="str">
        <f>"(Ln "&amp;B51&amp;" / 52)"</f>
        <v>(Ln 14 / 52)</v>
      </c>
      <c r="H53" s="5"/>
      <c r="I53" s="2">
        <f>ROUND(+I51/52,4)</f>
        <v>1079.4440999999999</v>
      </c>
      <c r="J53" s="5"/>
      <c r="K53" s="5"/>
      <c r="L53" s="5"/>
      <c r="M53" s="5"/>
      <c r="N53" s="5"/>
      <c r="O53" s="5"/>
      <c r="P53" s="109"/>
      <c r="Q53" s="110"/>
      <c r="R53" s="110"/>
      <c r="S53" s="110"/>
      <c r="T53" s="110"/>
      <c r="U53" s="110"/>
    </row>
    <row r="54" spans="1:28">
      <c r="B54" s="14">
        <f t="shared" si="0"/>
        <v>17</v>
      </c>
      <c r="C54" s="5"/>
      <c r="D54" s="5" t="str">
        <f>"Daily On-Peak Point-to-Point Rate in $/MW - Day"</f>
        <v>Daily On-Peak Point-to-Point Rate in $/MW - Day</v>
      </c>
      <c r="E54" s="5"/>
      <c r="F54" s="5"/>
      <c r="G54" s="59" t="str">
        <f>"(Ln "&amp;B51&amp;" / 260)"</f>
        <v>(Ln 14 / 260)</v>
      </c>
      <c r="H54" s="5"/>
      <c r="I54" s="2">
        <f>ROUND(+I51/260,4)</f>
        <v>215.8888</v>
      </c>
      <c r="J54" s="5"/>
      <c r="K54" s="5"/>
      <c r="L54" s="5"/>
      <c r="M54" s="5"/>
      <c r="N54" s="5"/>
      <c r="O54" s="5"/>
      <c r="P54" s="109"/>
      <c r="Q54" s="110"/>
      <c r="R54" s="110"/>
      <c r="S54" s="110"/>
      <c r="T54" s="110"/>
      <c r="U54" s="110"/>
    </row>
    <row r="55" spans="1:28">
      <c r="B55" s="14">
        <f t="shared" si="0"/>
        <v>18</v>
      </c>
      <c r="C55" s="5"/>
      <c r="D55" s="5" t="str">
        <f>"Daily Off-Peak Point-to-Point Rate in $/MW - Day"</f>
        <v>Daily Off-Peak Point-to-Point Rate in $/MW - Day</v>
      </c>
      <c r="E55" s="5"/>
      <c r="F55" s="5"/>
      <c r="G55" s="59" t="str">
        <f>"(Ln "&amp;B51&amp;" / 365)"</f>
        <v>(Ln 14 / 365)</v>
      </c>
      <c r="H55" s="5"/>
      <c r="I55" s="2">
        <f>ROUND(+I51/365,4)</f>
        <v>153.78380000000001</v>
      </c>
      <c r="J55" s="5"/>
      <c r="K55" s="5"/>
      <c r="L55" s="5"/>
      <c r="M55" s="5"/>
      <c r="N55" s="5"/>
      <c r="O55" s="5"/>
      <c r="P55" s="109"/>
      <c r="Q55" s="110"/>
      <c r="R55" s="110"/>
      <c r="S55" s="110"/>
      <c r="T55" s="110"/>
      <c r="U55" s="110"/>
    </row>
    <row r="56" spans="1:28">
      <c r="B56" s="14">
        <f t="shared" si="0"/>
        <v>19</v>
      </c>
      <c r="C56" s="5"/>
      <c r="D56" s="5" t="str">
        <f>"Hourly On-Peak Point-to-Point Rate in $/MW - Hour"</f>
        <v>Hourly On-Peak Point-to-Point Rate in $/MW - Hour</v>
      </c>
      <c r="E56" s="5"/>
      <c r="F56" s="5"/>
      <c r="G56" s="59" t="str">
        <f>"(Ln "&amp;B51&amp;" / 4160)"</f>
        <v>(Ln 14 / 4160)</v>
      </c>
      <c r="H56" s="5"/>
      <c r="I56" s="2">
        <f>ROUND(+I51/4160,4)</f>
        <v>13.4931</v>
      </c>
      <c r="J56" s="5"/>
      <c r="K56" s="5"/>
      <c r="L56" s="5"/>
      <c r="M56" s="5"/>
      <c r="N56" s="5"/>
      <c r="O56" s="5"/>
      <c r="P56" s="109"/>
      <c r="Q56" s="110"/>
      <c r="R56" s="110"/>
      <c r="S56" s="110"/>
      <c r="T56" s="110"/>
      <c r="U56" s="110"/>
    </row>
    <row r="57" spans="1:28">
      <c r="B57" s="14">
        <f t="shared" si="0"/>
        <v>20</v>
      </c>
      <c r="C57" s="5"/>
      <c r="D57" s="5" t="str">
        <f>"Hourly Off-Peak Point-to-Point Rate in $/MW - Hour"</f>
        <v>Hourly Off-Peak Point-to-Point Rate in $/MW - Hour</v>
      </c>
      <c r="E57" s="5"/>
      <c r="F57" s="5"/>
      <c r="G57" s="59" t="str">
        <f>"(Ln "&amp;B51&amp;" / 8760)"</f>
        <v>(Ln 14 / 8760)</v>
      </c>
      <c r="H57" s="5"/>
      <c r="I57" s="2">
        <f>ROUND(+I51/8760,4)</f>
        <v>6.4077000000000002</v>
      </c>
      <c r="J57" s="5"/>
      <c r="K57" s="5"/>
      <c r="L57" s="5"/>
      <c r="M57" s="5"/>
      <c r="N57" s="5"/>
      <c r="O57" s="5"/>
      <c r="P57" s="109"/>
      <c r="Q57" s="110"/>
      <c r="R57" s="110"/>
      <c r="S57" s="110"/>
      <c r="T57" s="110"/>
      <c r="U57" s="110"/>
    </row>
    <row r="58" spans="1:28">
      <c r="G58" s="49"/>
      <c r="H58" s="12"/>
      <c r="J58" s="12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111"/>
      <c r="X58" s="112"/>
      <c r="Y58" s="112"/>
      <c r="Z58" s="112"/>
      <c r="AA58" s="112"/>
      <c r="AB58" s="112"/>
    </row>
    <row r="59" spans="1:28">
      <c r="A59" s="17" t="s">
        <v>159</v>
      </c>
      <c r="B59" s="20" t="s">
        <v>160</v>
      </c>
      <c r="C59" s="14"/>
      <c r="D59" s="9"/>
      <c r="E59" s="14"/>
      <c r="F59" s="9"/>
      <c r="G59" s="14"/>
      <c r="H59" s="9"/>
      <c r="J59" s="9"/>
      <c r="L59" s="9"/>
    </row>
    <row r="60" spans="1:28">
      <c r="B60" s="13">
        <f>+B57+1</f>
        <v>21</v>
      </c>
      <c r="C60" s="5"/>
      <c r="D60" s="5" t="str">
        <f>"RTEP UPGRADE ATRR W/O INCENTIVES"</f>
        <v>RTEP UPGRADE ATRR W/O INCENTIVES</v>
      </c>
      <c r="G60" s="28" t="str">
        <f>"(Ln "&amp;B24&amp;")"</f>
        <v>(Ln 7)</v>
      </c>
      <c r="H60" s="5"/>
      <c r="I60" s="60">
        <f t="shared" ref="I60:I65" si="1">SUM(K60,M60,O60,Q60,S60,U60)</f>
        <v>43924196.57904157</v>
      </c>
      <c r="J60" s="5"/>
      <c r="K60" s="61">
        <f>K24</f>
        <v>27589930.064909387</v>
      </c>
      <c r="L60" s="5"/>
      <c r="M60" s="61">
        <f>M24</f>
        <v>7354071.1877318174</v>
      </c>
      <c r="N60" s="4"/>
      <c r="O60" s="61">
        <f>O24</f>
        <v>0</v>
      </c>
      <c r="P60" s="4"/>
      <c r="Q60" s="61">
        <f>Q24</f>
        <v>0</v>
      </c>
      <c r="R60" s="4"/>
      <c r="S60" s="61">
        <f>S24</f>
        <v>8871135.4438028429</v>
      </c>
      <c r="T60" s="4"/>
      <c r="U60" s="61">
        <f>U24</f>
        <v>109059.8825975317</v>
      </c>
      <c r="Y60" s="5"/>
      <c r="AA60" s="5"/>
    </row>
    <row r="61" spans="1:28">
      <c r="B61" s="13">
        <f>+B60+1</f>
        <v>22</v>
      </c>
      <c r="C61" s="5"/>
      <c r="D61" s="2" t="s">
        <v>161</v>
      </c>
      <c r="G61" s="44" t="str">
        <f>"(Worksheet J)"</f>
        <v>(Worksheet J)</v>
      </c>
      <c r="H61" s="5"/>
      <c r="I61" s="60">
        <f t="shared" si="1"/>
        <v>0</v>
      </c>
      <c r="J61" s="5"/>
      <c r="K61" s="62">
        <v>0</v>
      </c>
      <c r="L61" s="5"/>
      <c r="M61" s="62">
        <v>0</v>
      </c>
      <c r="N61" s="4"/>
      <c r="O61" s="62">
        <v>0</v>
      </c>
      <c r="P61" s="4"/>
      <c r="Q61" s="62">
        <v>0</v>
      </c>
      <c r="R61" s="4"/>
      <c r="S61" s="62">
        <v>0</v>
      </c>
      <c r="T61" s="4"/>
      <c r="U61" s="62">
        <v>0</v>
      </c>
    </row>
    <row r="62" spans="1:28">
      <c r="B62" s="13">
        <f>+B61+1</f>
        <v>23</v>
      </c>
      <c r="C62" s="5"/>
      <c r="D62" s="2" t="s">
        <v>162</v>
      </c>
      <c r="G62" s="28" t="s">
        <v>144</v>
      </c>
      <c r="H62" s="5"/>
      <c r="I62" s="60">
        <f t="shared" si="1"/>
        <v>-1517026.6943023375</v>
      </c>
      <c r="J62" s="5"/>
      <c r="K62" s="63">
        <v>-399786.69150450401</v>
      </c>
      <c r="L62" s="61"/>
      <c r="M62" s="64">
        <v>-721848.28204455879</v>
      </c>
      <c r="N62" s="60"/>
      <c r="O62" s="64">
        <v>0</v>
      </c>
      <c r="P62" s="60"/>
      <c r="Q62" s="64">
        <v>0</v>
      </c>
      <c r="R62" s="60"/>
      <c r="S62" s="64">
        <v>-401121.39510394237</v>
      </c>
      <c r="T62" s="60"/>
      <c r="U62" s="64">
        <v>5729.6743506678094</v>
      </c>
    </row>
    <row r="63" spans="1:28">
      <c r="B63" s="13">
        <f t="shared" ref="B63:B66" si="2">+B62+1</f>
        <v>24</v>
      </c>
      <c r="C63" s="5"/>
      <c r="D63" s="2" t="s">
        <v>163</v>
      </c>
      <c r="G63" s="28"/>
      <c r="H63" s="5"/>
      <c r="I63" s="60">
        <f t="shared" si="1"/>
        <v>-452014.4542662875</v>
      </c>
      <c r="J63" s="5"/>
      <c r="K63" s="63">
        <v>-251135.96111585444</v>
      </c>
      <c r="L63" s="61"/>
      <c r="M63" s="64">
        <v>-200775.33408756714</v>
      </c>
      <c r="N63" s="60"/>
      <c r="O63" s="64">
        <v>0</v>
      </c>
      <c r="P63" s="60"/>
      <c r="Q63" s="64">
        <v>0</v>
      </c>
      <c r="R63" s="60"/>
      <c r="S63" s="64">
        <v>0</v>
      </c>
      <c r="T63" s="60"/>
      <c r="U63" s="64">
        <v>-103.1590628659107</v>
      </c>
    </row>
    <row r="64" spans="1:28">
      <c r="B64" s="13">
        <f t="shared" si="2"/>
        <v>25</v>
      </c>
      <c r="C64" s="5"/>
      <c r="D64" s="2" t="s">
        <v>164</v>
      </c>
      <c r="G64" s="28"/>
      <c r="H64" s="5"/>
      <c r="I64" s="60">
        <f t="shared" si="1"/>
        <v>-26040.209018007805</v>
      </c>
      <c r="J64" s="5"/>
      <c r="K64" s="63">
        <v>-13841.416865749008</v>
      </c>
      <c r="L64" s="61"/>
      <c r="M64" s="64">
        <v>-4043.1300556546084</v>
      </c>
      <c r="N64" s="60"/>
      <c r="O64" s="64">
        <v>0</v>
      </c>
      <c r="P64" s="60"/>
      <c r="Q64" s="64">
        <v>0</v>
      </c>
      <c r="R64" s="60"/>
      <c r="S64" s="64">
        <v>-8083.0800509682113</v>
      </c>
      <c r="T64" s="60"/>
      <c r="U64" s="64">
        <v>-72.582045635977451</v>
      </c>
    </row>
    <row r="65" spans="2:21" ht="15.95" thickBot="1">
      <c r="B65" s="13">
        <f t="shared" si="2"/>
        <v>26</v>
      </c>
      <c r="C65" s="5"/>
      <c r="D65" s="2" t="s">
        <v>165</v>
      </c>
      <c r="G65" s="28"/>
      <c r="H65" s="5"/>
      <c r="I65" s="60">
        <f t="shared" si="1"/>
        <v>1059603.8764816632</v>
      </c>
      <c r="J65" s="5"/>
      <c r="K65" s="63"/>
      <c r="L65" s="61"/>
      <c r="M65" s="64">
        <f>-M42</f>
        <v>1059603.8764816632</v>
      </c>
      <c r="N65" s="60"/>
      <c r="O65" s="64"/>
      <c r="P65" s="60"/>
      <c r="Q65" s="64"/>
      <c r="R65" s="60"/>
      <c r="S65" s="64"/>
      <c r="T65" s="60"/>
      <c r="U65" s="64"/>
    </row>
    <row r="66" spans="2:21" ht="15.95" thickBot="1">
      <c r="B66" s="13">
        <f t="shared" si="2"/>
        <v>27</v>
      </c>
      <c r="C66" s="5"/>
      <c r="D66" s="65" t="s">
        <v>166</v>
      </c>
      <c r="E66" s="53"/>
      <c r="F66" s="53"/>
      <c r="G66" s="66"/>
      <c r="H66" s="66"/>
      <c r="I66" s="67">
        <f>+I60+I61+I62+I63+I64+I65</f>
        <v>42988719.0979366</v>
      </c>
      <c r="J66" s="5"/>
      <c r="K66" s="68">
        <f>+K60+K61+K62+K63+K64+K65</f>
        <v>26925165.99542328</v>
      </c>
      <c r="L66" s="5"/>
      <c r="M66" s="68">
        <f>+M60+M61+M62+M63+M64+M65</f>
        <v>7487008.3180256998</v>
      </c>
      <c r="N66" s="4"/>
      <c r="O66" s="68">
        <f>+O60+O61+O62+O63+O64+O65</f>
        <v>0</v>
      </c>
      <c r="P66" s="4"/>
      <c r="Q66" s="68">
        <f>+Q60+Q61+Q62+Q63+Q64+Q65</f>
        <v>0</v>
      </c>
      <c r="R66" s="4"/>
      <c r="S66" s="68">
        <f>+S60+S61+S62+S63+S64+S65</f>
        <v>8461930.9686479326</v>
      </c>
      <c r="T66" s="4"/>
      <c r="U66" s="68">
        <f>+U60+U61+U62+U63+U64+U65</f>
        <v>114613.81583969761</v>
      </c>
    </row>
    <row r="67" spans="2:21">
      <c r="B67" s="5"/>
      <c r="C67" s="5"/>
      <c r="D67" s="5"/>
      <c r="E67" s="5"/>
      <c r="F67" s="5"/>
      <c r="G67" s="5"/>
      <c r="H67" s="5"/>
      <c r="I67" s="4"/>
      <c r="J67" s="5"/>
      <c r="K67" s="5"/>
      <c r="L67" s="5"/>
      <c r="M67" s="5"/>
      <c r="N67" s="4"/>
      <c r="O67" s="5"/>
      <c r="P67" s="4"/>
      <c r="Q67" s="5"/>
      <c r="R67" s="4"/>
      <c r="S67" s="5"/>
      <c r="T67" s="4"/>
      <c r="U67" s="5"/>
    </row>
    <row r="68" spans="2:21">
      <c r="B68" s="5"/>
      <c r="C68" s="5"/>
      <c r="D68" s="5" t="s">
        <v>30</v>
      </c>
      <c r="E68" s="69" t="s">
        <v>30</v>
      </c>
      <c r="F68" s="5"/>
      <c r="G68" s="5"/>
      <c r="H68" s="5"/>
      <c r="I68" s="4"/>
      <c r="J68" s="5"/>
      <c r="K68" s="5"/>
      <c r="L68" s="5"/>
      <c r="M68" s="5"/>
      <c r="N68" s="4"/>
      <c r="O68" s="5"/>
      <c r="P68" s="4"/>
      <c r="Q68" s="5"/>
      <c r="R68" s="4"/>
      <c r="S68" s="5"/>
      <c r="T68" s="4"/>
      <c r="U68" s="5"/>
    </row>
    <row r="69" spans="2:21">
      <c r="B69" s="5"/>
      <c r="C69" s="5"/>
      <c r="D69" s="5" t="s">
        <v>167</v>
      </c>
      <c r="E69" s="69" t="s">
        <v>30</v>
      </c>
      <c r="F69" s="5"/>
      <c r="G69" s="5"/>
      <c r="H69" s="5"/>
      <c r="I69" s="70">
        <f>SUM(I62:I65)</f>
        <v>-935477.48110496975</v>
      </c>
      <c r="J69" s="5"/>
      <c r="K69" s="5"/>
      <c r="L69" s="5"/>
      <c r="M69" s="5"/>
      <c r="N69" s="4"/>
      <c r="O69" s="5"/>
      <c r="P69" s="4"/>
      <c r="Q69" s="5"/>
      <c r="R69" s="4"/>
      <c r="S69" s="5"/>
      <c r="T69" s="4"/>
      <c r="U69" s="5"/>
    </row>
    <row r="70" spans="2:21">
      <c r="B70" s="5"/>
      <c r="C70" s="5"/>
      <c r="D70" s="5"/>
      <c r="E70" s="5"/>
      <c r="F70" s="5"/>
      <c r="G70" s="71" t="s">
        <v>30</v>
      </c>
      <c r="H70" s="5"/>
      <c r="I70" s="10">
        <f>SUM('TransCo PJM Zonal Rates 2025'!I59:I62)</f>
        <v>-10014108.566935783</v>
      </c>
      <c r="J70" s="5"/>
      <c r="K70" s="5"/>
      <c r="L70" s="5"/>
      <c r="M70" s="5"/>
      <c r="N70" s="4"/>
      <c r="O70" s="5"/>
      <c r="P70" s="4"/>
      <c r="Q70" s="5"/>
      <c r="R70" s="4"/>
      <c r="S70" s="5"/>
      <c r="T70" s="4"/>
      <c r="U70" s="5"/>
    </row>
    <row r="71" spans="2:21">
      <c r="B71" s="9"/>
      <c r="C71" s="9"/>
      <c r="D71" s="9"/>
      <c r="E71" s="9"/>
      <c r="F71" s="9"/>
      <c r="G71" s="9"/>
      <c r="H71" s="9"/>
      <c r="I71" s="70">
        <f>SUM(I69:I70)</f>
        <v>-10949586.048040753</v>
      </c>
      <c r="J71" s="9"/>
      <c r="K71" s="9"/>
      <c r="L71" s="9"/>
      <c r="M71" s="9"/>
      <c r="N71" s="4"/>
      <c r="O71" s="9"/>
      <c r="P71" s="4"/>
      <c r="Q71" s="9"/>
      <c r="R71" s="4"/>
      <c r="S71" s="9"/>
      <c r="T71" s="4"/>
      <c r="U71" s="9"/>
    </row>
    <row r="72" spans="2:21">
      <c r="B72" s="9"/>
      <c r="C72" s="9"/>
      <c r="D72" s="9"/>
      <c r="E72" s="9"/>
      <c r="F72" s="9"/>
      <c r="G72" s="9"/>
      <c r="H72" s="9"/>
      <c r="I72" s="70">
        <f>I71*'2025 Rates'!H10*'2025 Rates'!C17</f>
        <v>-508730.84239349101</v>
      </c>
      <c r="J72" s="9"/>
      <c r="K72" s="9"/>
      <c r="L72" s="9"/>
      <c r="M72" s="9"/>
      <c r="N72" s="4"/>
      <c r="O72" s="9"/>
      <c r="P72" s="4"/>
      <c r="Q72" s="9"/>
      <c r="R72" s="4"/>
      <c r="S72" s="9"/>
      <c r="T72" s="4"/>
      <c r="U72" s="9"/>
    </row>
    <row r="73" spans="2:21">
      <c r="B73" s="9"/>
      <c r="C73" s="9" t="s">
        <v>30</v>
      </c>
      <c r="D73" s="9" t="s">
        <v>30</v>
      </c>
      <c r="E73" s="9"/>
      <c r="F73" s="9"/>
      <c r="G73" s="9"/>
      <c r="H73" s="9"/>
      <c r="I73" s="4"/>
      <c r="J73" s="9"/>
      <c r="K73" s="9"/>
      <c r="L73" s="9"/>
      <c r="M73" s="4"/>
      <c r="N73" s="4"/>
      <c r="O73" s="4"/>
      <c r="P73" s="4"/>
      <c r="Q73" s="4"/>
      <c r="R73" s="4"/>
      <c r="S73" s="4"/>
      <c r="T73" s="4"/>
      <c r="U73" s="4"/>
    </row>
    <row r="74" spans="2:21">
      <c r="B74" s="9"/>
      <c r="C74" s="9"/>
      <c r="D74" s="9" t="s">
        <v>30</v>
      </c>
      <c r="E74" s="9"/>
      <c r="F74" s="9"/>
      <c r="G74" s="9"/>
      <c r="H74" s="9"/>
      <c r="I74" s="4"/>
      <c r="J74" s="9"/>
      <c r="K74" s="9"/>
      <c r="L74" s="9"/>
      <c r="M74" s="4"/>
      <c r="N74" s="4"/>
      <c r="O74" s="4"/>
      <c r="P74" s="4"/>
      <c r="Q74" s="4"/>
      <c r="R74" s="4"/>
      <c r="S74" s="4"/>
      <c r="T74" s="4"/>
      <c r="U74" s="4"/>
    </row>
    <row r="75" spans="2:21">
      <c r="B75" s="9"/>
      <c r="C75" s="9"/>
      <c r="D75" s="9" t="s">
        <v>30</v>
      </c>
      <c r="E75" s="9"/>
      <c r="F75" s="9"/>
      <c r="G75" s="9"/>
      <c r="H75" s="9"/>
      <c r="I75" s="4"/>
      <c r="J75" s="9"/>
      <c r="K75" s="9"/>
      <c r="L75" s="9"/>
      <c r="M75" s="4"/>
      <c r="N75" s="4"/>
      <c r="O75" s="4"/>
      <c r="P75" s="4"/>
      <c r="Q75" s="4"/>
      <c r="R75" s="4"/>
      <c r="S75" s="4"/>
      <c r="T75" s="4"/>
      <c r="U75" s="4"/>
    </row>
    <row r="76" spans="2:21">
      <c r="B76" s="9"/>
      <c r="C76" s="9"/>
      <c r="D76" s="9" t="s">
        <v>30</v>
      </c>
      <c r="E76" s="9"/>
      <c r="F76" s="9"/>
      <c r="G76" s="9"/>
      <c r="H76" s="9"/>
      <c r="I76" s="4"/>
      <c r="J76" s="9"/>
      <c r="K76" s="9"/>
      <c r="L76" s="9"/>
      <c r="M76" s="4"/>
      <c r="N76" s="4"/>
      <c r="O76" s="4"/>
      <c r="P76" s="4"/>
      <c r="Q76" s="4"/>
      <c r="R76" s="4"/>
      <c r="S76" s="4"/>
      <c r="T76" s="4"/>
      <c r="U76" s="4"/>
    </row>
    <row r="77" spans="2:21">
      <c r="B77" s="9"/>
      <c r="C77" s="9"/>
      <c r="D77" s="9" t="s">
        <v>30</v>
      </c>
      <c r="E77" s="9"/>
      <c r="F77" s="9"/>
      <c r="G77" s="9"/>
      <c r="H77" s="9"/>
      <c r="I77" s="4"/>
      <c r="J77" s="9"/>
      <c r="K77" s="9"/>
      <c r="L77" s="9"/>
      <c r="M77" s="4"/>
      <c r="N77" s="4"/>
      <c r="O77" s="4"/>
      <c r="P77" s="4"/>
      <c r="Q77" s="4"/>
      <c r="R77" s="4"/>
      <c r="S77" s="4"/>
      <c r="T77" s="4"/>
      <c r="U77" s="4"/>
    </row>
    <row r="78" spans="2:21">
      <c r="B78" s="4"/>
      <c r="C78" s="4"/>
      <c r="D78" s="4" t="s">
        <v>168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2:21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2:2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2:21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2:2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2:21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2:21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2:21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2:21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2:21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2:21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2:21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2:2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2:21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2:21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2:21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2:21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2:21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2:21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2:21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2:21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2:21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2:21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2:21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2:21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2:21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2:2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2:21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2:21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2:21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2:21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2:21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2:21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2:21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2:2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2:21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2:2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2:21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2:21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2:21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2:21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2:21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2:21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2:21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2:21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2:21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2:2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2:21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2:21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2:21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2:21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2:21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2:21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2:21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2:21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2:21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2:2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2:21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2:21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2:21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</sheetData>
  <mergeCells count="5">
    <mergeCell ref="A3:U3"/>
    <mergeCell ref="A4:U4"/>
    <mergeCell ref="A5:U5"/>
    <mergeCell ref="A8:U8"/>
    <mergeCell ref="D19:E19"/>
  </mergeCells>
  <printOptions horizontalCentered="1"/>
  <pageMargins left="0.41" right="0.23" top="1.75" bottom="0.33" header="1.25" footer="0.17"/>
  <pageSetup scale="44" orientation="landscape" r:id="rId1"/>
  <headerFooter alignWithMargins="0">
    <oddFooter>&amp;Z&amp;F&amp;RPage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8969-BDF3-40B3-AAD5-CBB3768945DF}">
  <sheetPr>
    <tabColor indexed="42"/>
    <pageSetUpPr fitToPage="1"/>
  </sheetPr>
  <dimension ref="A1:X130"/>
  <sheetViews>
    <sheetView topLeftCell="A18" zoomScale="90" zoomScaleNormal="90" workbookViewId="0">
      <selection activeCell="I67" sqref="I67"/>
    </sheetView>
  </sheetViews>
  <sheetFormatPr defaultColWidth="11.42578125" defaultRowHeight="15.6"/>
  <cols>
    <col min="1" max="1" width="5.28515625" style="2" bestFit="1" customWidth="1"/>
    <col min="2" max="2" width="32.7109375" style="2" bestFit="1" customWidth="1"/>
    <col min="3" max="3" width="2" style="2" customWidth="1"/>
    <col min="4" max="4" width="82.42578125" style="2" bestFit="1" customWidth="1"/>
    <col min="5" max="5" width="2.42578125" style="2" bestFit="1" customWidth="1"/>
    <col min="6" max="6" width="8.7109375" style="2" customWidth="1"/>
    <col min="7" max="7" width="17.28515625" style="2" bestFit="1" customWidth="1"/>
    <col min="8" max="8" width="5" style="2" customWidth="1"/>
    <col min="9" max="9" width="31" style="2" bestFit="1" customWidth="1"/>
    <col min="10" max="10" width="6.42578125" style="2" bestFit="1" customWidth="1"/>
    <col min="11" max="11" width="40.42578125" style="2" bestFit="1" customWidth="1"/>
    <col min="12" max="12" width="4.5703125" style="2" customWidth="1"/>
    <col min="13" max="13" width="40.42578125" style="2" bestFit="1" customWidth="1"/>
    <col min="14" max="14" width="5.140625" style="2" customWidth="1"/>
    <col min="15" max="15" width="40.42578125" style="2" bestFit="1" customWidth="1"/>
    <col min="16" max="16" width="4.28515625" style="2" customWidth="1"/>
    <col min="17" max="17" width="32.140625" style="2" bestFit="1" customWidth="1"/>
    <col min="18" max="18" width="2.7109375" style="2" customWidth="1"/>
    <col min="19" max="19" width="40.42578125" style="2" bestFit="1" customWidth="1"/>
    <col min="20" max="20" width="18" style="2" bestFit="1" customWidth="1"/>
    <col min="21" max="23" width="11.42578125" style="2"/>
    <col min="24" max="24" width="2.42578125" style="2" bestFit="1" customWidth="1"/>
    <col min="25" max="16384" width="11.42578125" style="2"/>
  </cols>
  <sheetData>
    <row r="1" spans="1:24">
      <c r="A1" s="5"/>
      <c r="B1" s="5"/>
      <c r="C1" s="5"/>
      <c r="D1" s="5"/>
      <c r="E1" s="5"/>
      <c r="F1" s="5"/>
      <c r="G1" s="5"/>
      <c r="H1" s="5"/>
      <c r="J1" s="5"/>
      <c r="K1" s="5"/>
      <c r="L1" s="5"/>
      <c r="V1" s="3"/>
      <c r="X1" s="4" t="s">
        <v>30</v>
      </c>
    </row>
    <row r="2" spans="1:24">
      <c r="B2" s="12"/>
      <c r="C2" s="12"/>
      <c r="D2" s="12"/>
      <c r="E2" s="12"/>
      <c r="F2" s="12"/>
      <c r="G2" s="12"/>
      <c r="H2" s="12"/>
      <c r="J2" s="12"/>
      <c r="K2" s="12"/>
      <c r="L2" s="12"/>
    </row>
    <row r="3" spans="1:24">
      <c r="A3" s="354" t="s">
        <v>169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24">
      <c r="A4" s="351" t="str">
        <f>"Forecasted Costs through December 31, 2025"</f>
        <v>Forecasted Costs through December 31, 2025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</row>
    <row r="5" spans="1:24">
      <c r="A5" s="350" t="str">
        <f>"For rates effective January 1, 2025"</f>
        <v>For rates effective January 1, 2025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5"/>
      <c r="U5" s="5"/>
    </row>
    <row r="6" spans="1:2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24">
      <c r="A8" s="352" t="s">
        <v>170</v>
      </c>
      <c r="B8" s="352"/>
      <c r="C8" s="352"/>
      <c r="D8" s="352"/>
      <c r="E8" s="352"/>
      <c r="F8" s="352"/>
      <c r="G8" s="352"/>
      <c r="H8" s="352"/>
      <c r="I8" s="352"/>
      <c r="J8" s="352"/>
      <c r="K8" s="352"/>
      <c r="L8" s="352"/>
      <c r="M8" s="352"/>
      <c r="N8" s="352"/>
      <c r="O8" s="352"/>
      <c r="P8" s="352"/>
      <c r="Q8" s="352"/>
      <c r="R8" s="352"/>
    </row>
    <row r="9" spans="1:24">
      <c r="B9" s="14"/>
      <c r="C9" s="14"/>
      <c r="D9" s="9"/>
      <c r="E9" s="9"/>
      <c r="G9" s="15"/>
      <c r="H9" s="9"/>
      <c r="J9" s="9"/>
      <c r="K9" s="9"/>
      <c r="L9" s="9"/>
    </row>
    <row r="10" spans="1:24" ht="30">
      <c r="B10" s="14"/>
      <c r="C10" s="14"/>
      <c r="D10" s="9"/>
      <c r="E10" s="9"/>
      <c r="F10" s="16"/>
      <c r="G10" s="15"/>
      <c r="H10" s="9"/>
      <c r="I10" s="93" t="s">
        <v>171</v>
      </c>
      <c r="J10" s="94"/>
      <c r="K10" s="95" t="s">
        <v>172</v>
      </c>
      <c r="L10" s="96"/>
      <c r="M10" s="93" t="s">
        <v>173</v>
      </c>
      <c r="N10" s="97"/>
      <c r="O10" s="93" t="s">
        <v>174</v>
      </c>
      <c r="P10" s="97"/>
      <c r="Q10" s="93" t="s">
        <v>175</v>
      </c>
      <c r="R10" s="97"/>
      <c r="S10" s="93" t="s">
        <v>176</v>
      </c>
    </row>
    <row r="11" spans="1:24">
      <c r="B11" s="14" t="s">
        <v>122</v>
      </c>
      <c r="C11" s="14"/>
      <c r="D11" s="9"/>
      <c r="E11" s="9"/>
      <c r="F11" s="9"/>
      <c r="G11" s="15"/>
      <c r="H11" s="9"/>
      <c r="I11" s="17" t="s">
        <v>177</v>
      </c>
      <c r="J11" s="9"/>
      <c r="K11" s="18" t="s">
        <v>177</v>
      </c>
      <c r="L11" s="18"/>
      <c r="M11" s="18" t="s">
        <v>177</v>
      </c>
      <c r="O11" s="18" t="s">
        <v>177</v>
      </c>
      <c r="Q11" s="18" t="s">
        <v>177</v>
      </c>
      <c r="S11" s="18" t="s">
        <v>177</v>
      </c>
    </row>
    <row r="12" spans="1:24" ht="15.95" thickBot="1">
      <c r="B12" s="19" t="s">
        <v>124</v>
      </c>
      <c r="C12" s="14"/>
      <c r="D12" s="9"/>
      <c r="E12" s="14"/>
      <c r="F12" s="9"/>
      <c r="G12" s="9"/>
      <c r="H12" s="9"/>
      <c r="I12" s="17" t="s">
        <v>125</v>
      </c>
      <c r="J12" s="9"/>
      <c r="K12" s="17" t="s">
        <v>125</v>
      </c>
      <c r="L12" s="18"/>
      <c r="M12" s="17" t="s">
        <v>125</v>
      </c>
      <c r="O12" s="17" t="s">
        <v>125</v>
      </c>
      <c r="Q12" s="17" t="s">
        <v>125</v>
      </c>
      <c r="S12" s="17" t="s">
        <v>125</v>
      </c>
    </row>
    <row r="13" spans="1:24">
      <c r="B13" s="14"/>
      <c r="C13" s="14"/>
      <c r="D13" s="9"/>
      <c r="E13" s="14"/>
      <c r="F13" s="9"/>
      <c r="G13" s="9"/>
      <c r="H13" s="9"/>
      <c r="J13" s="9"/>
      <c r="L13" s="9"/>
    </row>
    <row r="14" spans="1:24">
      <c r="A14" s="17" t="s">
        <v>126</v>
      </c>
      <c r="B14" s="20" t="s">
        <v>127</v>
      </c>
      <c r="C14" s="14"/>
      <c r="D14" s="9"/>
      <c r="E14" s="14"/>
      <c r="F14" s="9"/>
      <c r="G14" s="9"/>
      <c r="H14" s="9"/>
      <c r="J14" s="9"/>
      <c r="L14" s="9"/>
    </row>
    <row r="15" spans="1:24">
      <c r="A15" s="17"/>
      <c r="B15" s="14">
        <v>1</v>
      </c>
      <c r="C15" s="14"/>
      <c r="D15" s="5" t="s">
        <v>128</v>
      </c>
      <c r="E15" s="14"/>
      <c r="F15" s="9"/>
      <c r="G15" s="14" t="s">
        <v>129</v>
      </c>
      <c r="H15" s="9"/>
      <c r="I15" s="21">
        <f>SUM(Q15,K15,S15,O15,M15,)</f>
        <v>1908635258.0370662</v>
      </c>
      <c r="J15" s="22"/>
      <c r="K15" s="98">
        <v>20966885.169530723</v>
      </c>
      <c r="L15" s="99"/>
      <c r="M15" s="98">
        <v>525924568.13222891</v>
      </c>
      <c r="N15" s="100"/>
      <c r="O15" s="98">
        <v>21219121.416689634</v>
      </c>
      <c r="P15" s="100"/>
      <c r="Q15" s="98">
        <v>984462754.51216304</v>
      </c>
      <c r="R15" s="100"/>
      <c r="S15" s="98">
        <v>356061928.80645388</v>
      </c>
    </row>
    <row r="16" spans="1:24">
      <c r="A16" s="17"/>
      <c r="B16" s="14"/>
      <c r="C16" s="14"/>
      <c r="D16" s="5"/>
      <c r="E16" s="14"/>
      <c r="F16" s="9"/>
      <c r="G16" s="9"/>
      <c r="H16" s="9"/>
      <c r="I16" s="21"/>
      <c r="J16" s="22"/>
      <c r="K16" s="100"/>
      <c r="L16" s="99"/>
      <c r="M16" s="100"/>
      <c r="N16" s="100"/>
      <c r="O16" s="100"/>
      <c r="P16" s="100"/>
      <c r="Q16" s="100"/>
      <c r="R16" s="100"/>
      <c r="S16" s="100"/>
      <c r="U16" s="6"/>
    </row>
    <row r="17" spans="1:19">
      <c r="A17" s="17"/>
      <c r="B17" s="14">
        <f>+B15+1</f>
        <v>2</v>
      </c>
      <c r="C17" s="14"/>
      <c r="D17" s="9" t="s">
        <v>130</v>
      </c>
      <c r="E17" s="14"/>
      <c r="F17" s="9"/>
      <c r="G17" s="14" t="s">
        <v>131</v>
      </c>
      <c r="H17" s="9"/>
      <c r="I17" s="21">
        <f>SUM(Q17,K17,S17,O17,M17,)</f>
        <v>18718493.765539981</v>
      </c>
      <c r="J17" s="22"/>
      <c r="K17" s="98">
        <v>0</v>
      </c>
      <c r="L17" s="99"/>
      <c r="M17" s="98">
        <v>1596307.0317999902</v>
      </c>
      <c r="N17" s="100"/>
      <c r="O17" s="98">
        <v>408708.38076000003</v>
      </c>
      <c r="P17" s="100"/>
      <c r="Q17" s="98">
        <v>10525047.63787999</v>
      </c>
      <c r="R17" s="100"/>
      <c r="S17" s="98">
        <v>6188430.7150999997</v>
      </c>
    </row>
    <row r="18" spans="1:19">
      <c r="A18" s="17"/>
      <c r="B18" s="20"/>
      <c r="C18" s="14"/>
      <c r="D18" s="9"/>
      <c r="E18" s="14"/>
      <c r="F18" s="9"/>
      <c r="G18" s="9"/>
      <c r="H18" s="9"/>
      <c r="I18" s="27"/>
      <c r="J18" s="22"/>
      <c r="K18" s="27"/>
      <c r="L18" s="22"/>
      <c r="M18" s="27"/>
      <c r="N18" s="10"/>
      <c r="O18" s="27"/>
      <c r="P18" s="10"/>
      <c r="Q18" s="27"/>
      <c r="R18" s="10"/>
      <c r="S18" s="27"/>
    </row>
    <row r="19" spans="1:19" ht="48.75" customHeight="1">
      <c r="B19" s="14">
        <f>+B17+1</f>
        <v>3</v>
      </c>
      <c r="C19" s="14"/>
      <c r="D19" s="353" t="s">
        <v>178</v>
      </c>
      <c r="E19" s="353"/>
      <c r="F19" s="28"/>
      <c r="G19" s="14" t="s">
        <v>133</v>
      </c>
      <c r="H19" s="12"/>
      <c r="I19" s="10">
        <f>SUM(Q19,K19,S19,O19,M19,)</f>
        <v>1889916764.2715263</v>
      </c>
      <c r="J19" s="22"/>
      <c r="K19" s="22">
        <f>+K15-K17</f>
        <v>20966885.169530723</v>
      </c>
      <c r="L19" s="22"/>
      <c r="M19" s="22">
        <f>+M15-M17</f>
        <v>524328261.10042894</v>
      </c>
      <c r="N19" s="10"/>
      <c r="O19" s="22">
        <f>+O15-O17</f>
        <v>20810413.035929635</v>
      </c>
      <c r="P19" s="10"/>
      <c r="Q19" s="22">
        <f>+Q15-Q17</f>
        <v>973937706.87428308</v>
      </c>
      <c r="R19" s="10"/>
      <c r="S19" s="22">
        <f>+S15-S17</f>
        <v>349873498.09135389</v>
      </c>
    </row>
    <row r="20" spans="1:19">
      <c r="B20" s="14"/>
      <c r="C20" s="14"/>
      <c r="D20" s="5"/>
      <c r="E20" s="9"/>
      <c r="F20" s="28"/>
      <c r="G20" s="12"/>
      <c r="H20" s="12"/>
      <c r="I20" s="10"/>
      <c r="J20" s="22"/>
      <c r="K20" s="22"/>
      <c r="L20" s="22"/>
      <c r="M20" s="22"/>
      <c r="N20" s="10"/>
      <c r="O20" s="22"/>
      <c r="P20" s="10"/>
      <c r="Q20" s="22"/>
      <c r="R20" s="10"/>
      <c r="S20" s="22"/>
    </row>
    <row r="21" spans="1:19">
      <c r="B21" s="14">
        <f>+B19+1</f>
        <v>4</v>
      </c>
      <c r="C21" s="14"/>
      <c r="D21" s="5" t="s">
        <v>134</v>
      </c>
      <c r="E21" s="9"/>
      <c r="F21" s="28"/>
      <c r="G21" s="12"/>
      <c r="H21" s="12"/>
      <c r="I21" s="10"/>
      <c r="J21" s="22"/>
      <c r="K21" s="10"/>
      <c r="L21" s="22"/>
      <c r="M21" s="10"/>
      <c r="N21" s="10"/>
      <c r="O21" s="10"/>
      <c r="P21" s="10"/>
      <c r="Q21" s="10"/>
      <c r="R21" s="10"/>
      <c r="S21" s="10"/>
    </row>
    <row r="22" spans="1:19">
      <c r="B22" s="14">
        <f>+B21+1</f>
        <v>5</v>
      </c>
      <c r="C22" s="14"/>
      <c r="D22" s="5" t="s">
        <v>179</v>
      </c>
      <c r="E22" s="9"/>
      <c r="F22" s="28"/>
      <c r="G22" s="14" t="s">
        <v>136</v>
      </c>
      <c r="H22" s="12"/>
      <c r="I22" s="10">
        <f>SUM(Q22,K22,S22,O22,M22,)</f>
        <v>143912532.39314485</v>
      </c>
      <c r="J22" s="22"/>
      <c r="K22" s="101">
        <v>0</v>
      </c>
      <c r="L22" s="102"/>
      <c r="M22" s="101">
        <v>49191628.168834932</v>
      </c>
      <c r="N22" s="100"/>
      <c r="O22" s="98">
        <v>4764985.4899237761</v>
      </c>
      <c r="P22" s="100"/>
      <c r="Q22" s="98">
        <v>40603282.370092437</v>
      </c>
      <c r="R22" s="100"/>
      <c r="S22" s="98">
        <v>49352636.364293709</v>
      </c>
    </row>
    <row r="23" spans="1:19">
      <c r="B23" s="14">
        <f>+B22+1</f>
        <v>6</v>
      </c>
      <c r="C23" s="14"/>
      <c r="D23" s="5" t="s">
        <v>180</v>
      </c>
      <c r="E23" s="9"/>
      <c r="F23" s="28"/>
      <c r="G23" s="14" t="str">
        <f>"(Worksheet J)"</f>
        <v>(Worksheet J)</v>
      </c>
      <c r="H23" s="12"/>
      <c r="I23" s="27">
        <f>SUM(Q23,K23,S23,O23,M23,)</f>
        <v>0</v>
      </c>
      <c r="J23" s="22"/>
      <c r="K23" s="40">
        <v>0</v>
      </c>
      <c r="L23" s="39"/>
      <c r="M23" s="38">
        <v>0</v>
      </c>
      <c r="N23" s="10"/>
      <c r="O23" s="38">
        <v>0</v>
      </c>
      <c r="P23" s="10"/>
      <c r="Q23" s="38">
        <v>0</v>
      </c>
      <c r="R23" s="10"/>
      <c r="S23" s="40">
        <v>0</v>
      </c>
    </row>
    <row r="24" spans="1:19">
      <c r="B24" s="14">
        <f>+B23+1</f>
        <v>7</v>
      </c>
      <c r="C24" s="14"/>
      <c r="D24" s="36" t="s">
        <v>138</v>
      </c>
      <c r="E24" s="9" t="s">
        <v>30</v>
      </c>
      <c r="F24" s="28"/>
      <c r="G24" s="12"/>
      <c r="H24" s="12"/>
      <c r="I24" s="39">
        <f>+I23+I22</f>
        <v>143912532.39314485</v>
      </c>
      <c r="J24" s="22"/>
      <c r="K24" s="41">
        <f>+K23+K22</f>
        <v>0</v>
      </c>
      <c r="L24" s="39"/>
      <c r="M24" s="39">
        <f>+M23+M22</f>
        <v>49191628.168834932</v>
      </c>
      <c r="N24" s="10"/>
      <c r="O24" s="39">
        <f>+O23+O22</f>
        <v>4764985.4899237761</v>
      </c>
      <c r="P24" s="10"/>
      <c r="Q24" s="39">
        <f>+Q23+Q22</f>
        <v>40603282.370092437</v>
      </c>
      <c r="R24" s="10"/>
      <c r="S24" s="41">
        <f>+S23+S22</f>
        <v>49352636.364293709</v>
      </c>
    </row>
    <row r="25" spans="1:19">
      <c r="B25" s="14"/>
      <c r="C25" s="14"/>
      <c r="D25" s="5"/>
      <c r="E25" s="9"/>
      <c r="F25" s="28"/>
      <c r="G25" s="12"/>
      <c r="H25" s="12"/>
      <c r="I25" s="37"/>
      <c r="J25" s="22"/>
      <c r="K25" s="40"/>
      <c r="L25" s="39"/>
      <c r="M25" s="38"/>
      <c r="N25" s="10"/>
      <c r="O25" s="38"/>
      <c r="P25" s="10"/>
      <c r="Q25" s="38"/>
      <c r="R25" s="10"/>
      <c r="S25" s="40"/>
    </row>
    <row r="26" spans="1:19">
      <c r="B26" s="14">
        <f>+B24+1</f>
        <v>8</v>
      </c>
      <c r="C26" s="14"/>
      <c r="D26" s="5" t="s">
        <v>181</v>
      </c>
      <c r="E26" s="9"/>
      <c r="G26" s="28" t="str">
        <f>"(Ln "&amp;B19&amp;"- Ln "&amp;B24&amp;")"</f>
        <v>(Ln 3- Ln 7)</v>
      </c>
      <c r="H26" s="12"/>
      <c r="I26" s="10">
        <f>SUM(Q26,K26,S26,O26,M26,)</f>
        <v>1746004231.8783817</v>
      </c>
      <c r="J26" s="22"/>
      <c r="K26" s="41">
        <f>+K19-K24</f>
        <v>20966885.169530723</v>
      </c>
      <c r="L26" s="39"/>
      <c r="M26" s="39">
        <f>+M19-M24</f>
        <v>475136632.93159401</v>
      </c>
      <c r="N26" s="10"/>
      <c r="O26" s="39">
        <f>+O19-O24</f>
        <v>16045427.54600586</v>
      </c>
      <c r="P26" s="10"/>
      <c r="Q26" s="39">
        <f>+Q19-Q24</f>
        <v>933334424.50419068</v>
      </c>
      <c r="R26" s="10"/>
      <c r="S26" s="41">
        <f>+S19-S24</f>
        <v>300520861.7270602</v>
      </c>
    </row>
    <row r="27" spans="1:19">
      <c r="C27" s="14"/>
      <c r="E27" s="9"/>
      <c r="G27" s="12"/>
      <c r="H27" s="12"/>
      <c r="I27" s="10"/>
      <c r="J27" s="22"/>
      <c r="K27" s="10"/>
      <c r="L27" s="10"/>
      <c r="M27" s="10"/>
      <c r="N27" s="10"/>
      <c r="O27" s="10"/>
      <c r="P27" s="10"/>
      <c r="Q27" s="10"/>
      <c r="R27" s="10"/>
      <c r="S27" s="10"/>
    </row>
    <row r="28" spans="1:19">
      <c r="B28" s="14">
        <f>+B26+1</f>
        <v>9</v>
      </c>
      <c r="C28" s="14"/>
      <c r="D28" s="5" t="s">
        <v>182</v>
      </c>
      <c r="E28" s="9"/>
      <c r="F28" s="28"/>
      <c r="G28" s="14" t="str">
        <f>"(Worksheet J)"</f>
        <v>(Worksheet J)</v>
      </c>
      <c r="H28" s="12"/>
      <c r="I28" s="21">
        <f>SUM(Q28,K28,S28,O28,M28,)</f>
        <v>0</v>
      </c>
      <c r="J28" s="22"/>
      <c r="K28" s="103">
        <v>0</v>
      </c>
      <c r="L28" s="39"/>
      <c r="M28" s="104">
        <v>0</v>
      </c>
      <c r="N28" s="10"/>
      <c r="O28" s="104">
        <v>0</v>
      </c>
      <c r="P28" s="10"/>
      <c r="Q28" s="104">
        <v>0</v>
      </c>
      <c r="R28" s="10"/>
      <c r="S28" s="104">
        <v>0</v>
      </c>
    </row>
    <row r="29" spans="1:19">
      <c r="B29" s="14"/>
      <c r="C29" s="14"/>
      <c r="D29" s="5"/>
      <c r="E29" s="9"/>
      <c r="F29" s="28"/>
      <c r="G29" s="12"/>
      <c r="H29" s="12"/>
      <c r="I29" s="37"/>
      <c r="J29" s="22"/>
      <c r="K29" s="40"/>
      <c r="L29" s="39"/>
      <c r="M29" s="38"/>
      <c r="N29" s="10"/>
      <c r="O29" s="38"/>
      <c r="P29" s="10"/>
      <c r="Q29" s="38"/>
      <c r="R29" s="10"/>
      <c r="S29" s="40"/>
    </row>
    <row r="30" spans="1:19" ht="21" customHeight="1">
      <c r="B30" s="14">
        <f>+B28+1</f>
        <v>10</v>
      </c>
      <c r="C30" s="14"/>
      <c r="D30" s="5" t="s">
        <v>183</v>
      </c>
      <c r="E30" s="9"/>
      <c r="G30" s="28" t="str">
        <f>"(Ln "&amp;B26&amp;" + Ln "&amp;B28&amp;")"</f>
        <v>(Ln 8 + Ln 9)</v>
      </c>
      <c r="H30" s="12"/>
      <c r="I30" s="21">
        <f>+I26+I28</f>
        <v>1746004231.8783817</v>
      </c>
      <c r="J30" s="22"/>
      <c r="K30" s="41">
        <f>+K26+K28</f>
        <v>20966885.169530723</v>
      </c>
      <c r="L30" s="39"/>
      <c r="M30" s="39">
        <f>+M26+M28</f>
        <v>475136632.93159401</v>
      </c>
      <c r="N30" s="10"/>
      <c r="O30" s="39">
        <f>+O26+O28</f>
        <v>16045427.54600586</v>
      </c>
      <c r="P30" s="10"/>
      <c r="Q30" s="39">
        <f>+Q26+Q28</f>
        <v>933334424.50419068</v>
      </c>
      <c r="R30" s="10"/>
      <c r="S30" s="41">
        <f>+S26+S28</f>
        <v>300520861.7270602</v>
      </c>
    </row>
    <row r="31" spans="1:19"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>
      <c r="B32" s="14">
        <f>+B30+1</f>
        <v>11</v>
      </c>
      <c r="C32" s="14"/>
      <c r="D32" s="5" t="s">
        <v>184</v>
      </c>
      <c r="E32" s="9"/>
      <c r="F32" s="28"/>
      <c r="G32" s="28" t="s">
        <v>185</v>
      </c>
      <c r="H32" s="12"/>
      <c r="I32" s="10">
        <f>SUM(Q32,K32,S32,O32,M32,)</f>
        <v>-46493249.802858457</v>
      </c>
      <c r="J32" s="22"/>
      <c r="K32" s="45">
        <v>-1871324.6823275008</v>
      </c>
      <c r="L32" s="39"/>
      <c r="M32" s="21">
        <v>-425438.04793298506</v>
      </c>
      <c r="N32" s="10"/>
      <c r="O32" s="21">
        <v>683570.86690927914</v>
      </c>
      <c r="P32" s="10"/>
      <c r="Q32" s="21">
        <v>-30427002.996787962</v>
      </c>
      <c r="R32" s="10"/>
      <c r="S32" s="45">
        <v>-14453054.942719288</v>
      </c>
    </row>
    <row r="33" spans="1:21">
      <c r="B33" s="14"/>
      <c r="C33" s="14"/>
      <c r="D33" s="5"/>
      <c r="E33" s="9"/>
      <c r="F33" s="28"/>
      <c r="G33" s="28"/>
      <c r="H33" s="12"/>
      <c r="I33" s="10"/>
      <c r="J33" s="22"/>
      <c r="K33" s="45"/>
      <c r="L33" s="39"/>
      <c r="M33" s="21"/>
      <c r="N33" s="10"/>
      <c r="O33" s="21"/>
      <c r="P33" s="10"/>
      <c r="Q33" s="21"/>
      <c r="R33" s="10"/>
      <c r="S33" s="45"/>
    </row>
    <row r="34" spans="1:21">
      <c r="B34" s="14" t="s">
        <v>145</v>
      </c>
      <c r="C34" s="14"/>
      <c r="D34" s="5" t="s">
        <v>146</v>
      </c>
      <c r="E34" s="9"/>
      <c r="F34" s="28"/>
      <c r="G34" s="28" t="s">
        <v>147</v>
      </c>
      <c r="H34" s="12"/>
      <c r="I34" s="10">
        <f>SUM(Q34,K34,S34,O34,M34,)</f>
        <v>7798149</v>
      </c>
      <c r="J34" s="22"/>
      <c r="K34" s="45"/>
      <c r="L34" s="39"/>
      <c r="M34" s="21"/>
      <c r="N34" s="10"/>
      <c r="O34" s="21"/>
      <c r="P34" s="10"/>
      <c r="Q34" s="21">
        <v>7798149</v>
      </c>
      <c r="R34" s="10"/>
      <c r="S34" s="45"/>
    </row>
    <row r="35" spans="1:21">
      <c r="E35" s="9"/>
      <c r="F35" s="28"/>
      <c r="G35" s="12"/>
      <c r="H35" s="12"/>
      <c r="I35" s="21"/>
      <c r="J35" s="22"/>
      <c r="K35" s="41"/>
      <c r="L35" s="105"/>
      <c r="M35" s="39"/>
      <c r="N35" s="10"/>
      <c r="O35" s="39"/>
      <c r="P35" s="10"/>
      <c r="Q35" s="39"/>
      <c r="R35" s="10"/>
      <c r="S35" s="41"/>
    </row>
    <row r="36" spans="1:21">
      <c r="B36" s="2" t="s">
        <v>148</v>
      </c>
      <c r="D36" s="5" t="s">
        <v>149</v>
      </c>
      <c r="E36" s="9"/>
      <c r="F36" s="28"/>
      <c r="G36" s="12"/>
      <c r="H36" s="12"/>
      <c r="I36" s="10">
        <f>SUM(Q36,K36,S36,O36,M36,)</f>
        <v>-53135175.100999042</v>
      </c>
      <c r="J36" s="22"/>
      <c r="K36" s="41">
        <v>-200015.6174166163</v>
      </c>
      <c r="L36" s="105"/>
      <c r="M36" s="39">
        <v>-17693309.879904386</v>
      </c>
      <c r="N36" s="10"/>
      <c r="O36" s="39">
        <v>-920445.02523214091</v>
      </c>
      <c r="P36" s="10"/>
      <c r="Q36" s="39">
        <v>-25876968.113357354</v>
      </c>
      <c r="R36" s="10"/>
      <c r="S36" s="41">
        <v>-8444436.465088537</v>
      </c>
    </row>
    <row r="37" spans="1:21">
      <c r="D37" s="5"/>
      <c r="E37" s="9"/>
      <c r="F37" s="28"/>
      <c r="G37" s="12"/>
      <c r="H37" s="12"/>
      <c r="I37" s="10"/>
      <c r="J37" s="22"/>
      <c r="K37" s="41"/>
      <c r="L37" s="105"/>
      <c r="M37" s="39"/>
      <c r="N37" s="10"/>
      <c r="O37" s="39"/>
      <c r="P37" s="10"/>
      <c r="Q37" s="39"/>
      <c r="R37" s="10"/>
      <c r="S37" s="41"/>
    </row>
    <row r="38" spans="1:21">
      <c r="B38" s="2" t="s">
        <v>150</v>
      </c>
      <c r="D38" s="5" t="s">
        <v>186</v>
      </c>
      <c r="E38" s="9"/>
      <c r="F38" s="28"/>
      <c r="G38" s="12"/>
      <c r="H38" s="12"/>
      <c r="I38" s="10">
        <f>SUM(Q38,K38,S38,O38,M38,)</f>
        <v>-432366.97254356684</v>
      </c>
      <c r="J38" s="22"/>
      <c r="K38" s="41">
        <v>-4607.3525549502765</v>
      </c>
      <c r="L38" s="105"/>
      <c r="M38" s="39">
        <v>-147119.07036397912</v>
      </c>
      <c r="N38" s="10"/>
      <c r="O38" s="39">
        <v>-7715.2063637619794</v>
      </c>
      <c r="P38" s="10"/>
      <c r="Q38" s="39">
        <v>-217330.36084843343</v>
      </c>
      <c r="R38" s="10"/>
      <c r="S38" s="41">
        <v>-55594.982412442027</v>
      </c>
    </row>
    <row r="39" spans="1:21">
      <c r="D39" s="5"/>
      <c r="E39" s="9"/>
      <c r="F39" s="28"/>
      <c r="G39" s="12"/>
      <c r="H39" s="12"/>
      <c r="I39" s="10"/>
      <c r="J39" s="22"/>
      <c r="K39" s="41"/>
      <c r="L39" s="105"/>
      <c r="M39" s="39"/>
      <c r="N39" s="10"/>
      <c r="O39" s="39"/>
      <c r="P39" s="10"/>
      <c r="Q39" s="39"/>
      <c r="R39" s="10"/>
      <c r="S39" s="41"/>
    </row>
    <row r="40" spans="1:21">
      <c r="B40" s="2" t="s">
        <v>152</v>
      </c>
      <c r="D40" s="5" t="s">
        <v>153</v>
      </c>
      <c r="E40" s="9"/>
      <c r="F40" s="28"/>
      <c r="G40" s="12"/>
      <c r="H40" s="12"/>
      <c r="I40" s="10">
        <f>SUM(Q40,K40,S40,O40,M40,)</f>
        <v>-3585336.6333890799</v>
      </c>
      <c r="J40" s="22"/>
      <c r="K40" s="41"/>
      <c r="L40" s="105"/>
      <c r="M40" s="39">
        <v>-3585336.6333890799</v>
      </c>
      <c r="N40" s="10"/>
      <c r="O40" s="39"/>
      <c r="P40" s="10"/>
      <c r="Q40" s="39"/>
      <c r="R40" s="10"/>
      <c r="S40" s="41"/>
    </row>
    <row r="41" spans="1:21">
      <c r="D41" s="5"/>
      <c r="E41" s="9"/>
      <c r="F41" s="28"/>
      <c r="G41" s="12"/>
      <c r="H41" s="12"/>
      <c r="I41" s="10"/>
      <c r="J41" s="22"/>
      <c r="K41" s="41"/>
      <c r="L41" s="105"/>
      <c r="M41" s="39"/>
      <c r="N41" s="10"/>
      <c r="O41" s="39"/>
      <c r="P41" s="10"/>
      <c r="Q41" s="39"/>
      <c r="R41" s="10"/>
      <c r="S41" s="41"/>
    </row>
    <row r="42" spans="1:21">
      <c r="B42" s="2" t="s">
        <v>154</v>
      </c>
      <c r="D42" s="5" t="s">
        <v>155</v>
      </c>
      <c r="E42" s="9"/>
      <c r="F42" s="28"/>
      <c r="G42" s="12"/>
      <c r="H42" s="12"/>
      <c r="I42" s="10">
        <f>SUM(Q42,K42,S42,O42,M42,)</f>
        <v>-10833.315096037844</v>
      </c>
      <c r="J42" s="22"/>
      <c r="K42" s="41">
        <v>-100.85135362484779</v>
      </c>
      <c r="L42" s="105"/>
      <c r="M42" s="39">
        <v>-3337.2932935962358</v>
      </c>
      <c r="N42" s="10"/>
      <c r="O42" s="39">
        <v>-163.05164507412408</v>
      </c>
      <c r="P42" s="10"/>
      <c r="Q42" s="39">
        <v>-5064.4005763070008</v>
      </c>
      <c r="R42" s="10"/>
      <c r="S42" s="41">
        <v>-2167.7182274356364</v>
      </c>
    </row>
    <row r="43" spans="1:21" ht="15.95" thickBot="1">
      <c r="E43" s="9"/>
      <c r="F43" s="28"/>
      <c r="G43" s="12"/>
      <c r="H43" s="12"/>
      <c r="I43" s="21"/>
      <c r="J43" s="22"/>
      <c r="K43" s="41"/>
      <c r="L43" s="105"/>
      <c r="M43" s="39"/>
      <c r="N43" s="10"/>
      <c r="O43" s="39"/>
      <c r="P43" s="10"/>
      <c r="Q43" s="39"/>
      <c r="R43" s="10"/>
      <c r="S43" s="41"/>
    </row>
    <row r="44" spans="1:21" ht="15.95" thickBot="1">
      <c r="B44" s="14">
        <f>B32+1</f>
        <v>12</v>
      </c>
      <c r="C44" s="14"/>
      <c r="D44" s="51" t="s">
        <v>187</v>
      </c>
      <c r="E44" s="52"/>
      <c r="F44" s="53"/>
      <c r="G44" s="106" t="str">
        <f>"(Ln "&amp;B30&amp;" + Ln "&amp;B32&amp;" )"</f>
        <v>(Ln 10 + Ln 11 )</v>
      </c>
      <c r="H44" s="55"/>
      <c r="I44" s="56">
        <f>+I30+I32+I34+I36+I38+I40+I42</f>
        <v>1650145419.0534956</v>
      </c>
      <c r="J44" s="22"/>
      <c r="K44" s="56">
        <f>+K30+K32+K34+K36+K38+K40+K42</f>
        <v>18890836.665878028</v>
      </c>
      <c r="L44" s="22"/>
      <c r="M44" s="56">
        <f>+M30+M32+M34+M36+M38+M40+M42</f>
        <v>453282092.00670999</v>
      </c>
      <c r="N44" s="10"/>
      <c r="O44" s="56">
        <f>+O30+O32+O34+O36+O38+O40+O42</f>
        <v>15800675.129674161</v>
      </c>
      <c r="P44" s="10"/>
      <c r="Q44" s="56">
        <f>+Q30+Q32+Q34+Q36+Q38+Q40+Q42</f>
        <v>884606207.63262069</v>
      </c>
      <c r="R44" s="10"/>
      <c r="S44" s="56">
        <f>+S30+S32+S34+S36+S38+S40+S42</f>
        <v>277565607.61861247</v>
      </c>
    </row>
    <row r="45" spans="1:21">
      <c r="B45" s="14"/>
      <c r="C45" s="14"/>
      <c r="D45" s="5"/>
      <c r="E45" s="9"/>
      <c r="G45" s="28"/>
      <c r="H45" s="12"/>
      <c r="I45" s="22"/>
      <c r="J45" s="12"/>
      <c r="K45" s="107"/>
      <c r="L45" s="107"/>
      <c r="M45" s="107"/>
      <c r="N45" s="107"/>
      <c r="O45" s="107"/>
      <c r="P45" s="107"/>
      <c r="Q45" s="107"/>
      <c r="R45" s="107"/>
      <c r="S45" s="107"/>
    </row>
    <row r="46" spans="1:21">
      <c r="A46" s="17" t="s">
        <v>157</v>
      </c>
      <c r="B46" s="20" t="s">
        <v>158</v>
      </c>
      <c r="C46" s="14"/>
      <c r="D46" s="9"/>
      <c r="E46" s="14"/>
      <c r="F46" s="9"/>
      <c r="G46" s="9"/>
      <c r="H46" s="9"/>
      <c r="J46" s="9"/>
      <c r="L46" s="9"/>
    </row>
    <row r="47" spans="1:21">
      <c r="B47" s="14">
        <f>+B44+1</f>
        <v>13</v>
      </c>
      <c r="C47" s="14"/>
      <c r="D47" s="5" t="str">
        <f>""&amp;X1&amp;" AEP East Zone Network Service Peak Load (1 CP)"</f>
        <v xml:space="preserve">  AEP East Zone Network Service Peak Load (1 CP)</v>
      </c>
      <c r="E47" s="9"/>
      <c r="F47" s="28"/>
      <c r="G47" s="44"/>
      <c r="H47" s="12"/>
      <c r="I47" s="58">
        <v>22318</v>
      </c>
      <c r="J47" s="12" t="s">
        <v>77</v>
      </c>
      <c r="K47" s="22"/>
      <c r="L47" s="12"/>
      <c r="M47" s="22"/>
      <c r="O47" s="22"/>
      <c r="Q47" s="22"/>
      <c r="S47" s="22"/>
    </row>
    <row r="48" spans="1:21">
      <c r="B48" s="14">
        <f>+B47+1</f>
        <v>14</v>
      </c>
      <c r="C48" s="5"/>
      <c r="D48" s="5" t="str">
        <f>"Annual Point-to-Point Rate in $/MW - Year"</f>
        <v>Annual Point-to-Point Rate in $/MW - Year</v>
      </c>
      <c r="E48" s="5"/>
      <c r="F48" s="5"/>
      <c r="G48" s="59" t="str">
        <f>"(Ln "&amp;B44&amp;" / Ln "&amp;B47&amp;")"</f>
        <v>(Ln 12 / Ln 13)</v>
      </c>
      <c r="H48" s="5"/>
      <c r="I48" s="2">
        <f>ROUND(+I44/I47,4)</f>
        <v>73937.871599999999</v>
      </c>
      <c r="J48" s="5"/>
      <c r="K48" s="108"/>
      <c r="L48" s="5"/>
      <c r="M48" s="5"/>
      <c r="N48" s="5"/>
      <c r="O48" s="5"/>
      <c r="P48" s="5"/>
      <c r="Q48" s="8"/>
      <c r="R48" s="5"/>
      <c r="S48" s="108"/>
      <c r="T48" s="5"/>
      <c r="U48" s="5"/>
    </row>
    <row r="49" spans="1:23">
      <c r="B49" s="14">
        <f t="shared" ref="B49:B54" si="0">+B48+1</f>
        <v>15</v>
      </c>
      <c r="C49" s="5"/>
      <c r="D49" s="5" t="str">
        <f>"Monthly Point-to-Point Rate in $/MW - Month"</f>
        <v>Monthly Point-to-Point Rate in $/MW - Month</v>
      </c>
      <c r="E49" s="5"/>
      <c r="F49" s="5"/>
      <c r="G49" s="59" t="str">
        <f>"(Ln "&amp;$B$48&amp;" / 12)"</f>
        <v>(Ln 14 / 12)</v>
      </c>
      <c r="H49" s="5"/>
      <c r="I49" s="2">
        <f>ROUND(+I$48/12,4)</f>
        <v>6161.4893000000002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3">
      <c r="B50" s="14">
        <f t="shared" si="0"/>
        <v>16</v>
      </c>
      <c r="C50" s="5"/>
      <c r="D50" s="5" t="str">
        <f>"Weekly Point-to-Point Rate in $/MW - Weekly"</f>
        <v>Weekly Point-to-Point Rate in $/MW - Weekly</v>
      </c>
      <c r="E50" s="5"/>
      <c r="F50" s="5"/>
      <c r="G50" s="59" t="str">
        <f>"(Ln "&amp;$B$48&amp;" / 52)"</f>
        <v>(Ln 14 / 52)</v>
      </c>
      <c r="H50" s="5"/>
      <c r="I50" s="2">
        <f>ROUND(+I48/52,4)</f>
        <v>1421.8821</v>
      </c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3">
      <c r="B51" s="14">
        <f t="shared" si="0"/>
        <v>17</v>
      </c>
      <c r="C51" s="5"/>
      <c r="D51" s="5" t="str">
        <f>"Daily On-Peak Point-to-Point Rate in $/MW - Day"</f>
        <v>Daily On-Peak Point-to-Point Rate in $/MW - Day</v>
      </c>
      <c r="E51" s="5"/>
      <c r="F51" s="5"/>
      <c r="G51" s="59" t="str">
        <f>"(Ln "&amp;$B$48&amp;" / 260)"</f>
        <v>(Ln 14 / 260)</v>
      </c>
      <c r="H51" s="5"/>
      <c r="I51" s="2">
        <f>ROUND(+I48/260,4)</f>
        <v>284.37639999999999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3">
      <c r="B52" s="14">
        <f t="shared" si="0"/>
        <v>18</v>
      </c>
      <c r="C52" s="5"/>
      <c r="D52" s="5" t="str">
        <f>"Daily Off-Peak Point-to-Point Rate in $/MW - Day"</f>
        <v>Daily Off-Peak Point-to-Point Rate in $/MW - Day</v>
      </c>
      <c r="E52" s="5"/>
      <c r="F52" s="5"/>
      <c r="G52" s="59" t="str">
        <f>"(Ln "&amp;$B$48&amp;" / 365)"</f>
        <v>(Ln 14 / 365)</v>
      </c>
      <c r="H52" s="5"/>
      <c r="I52" s="2">
        <f>ROUND(+I48/365,4)</f>
        <v>202.56950000000001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3">
      <c r="B53" s="14">
        <f t="shared" si="0"/>
        <v>19</v>
      </c>
      <c r="C53" s="5"/>
      <c r="D53" s="5" t="str">
        <f>"Hourly On-Peak Point-to-Point Rate in $/MW - Hour"</f>
        <v>Hourly On-Peak Point-to-Point Rate in $/MW - Hour</v>
      </c>
      <c r="E53" s="5"/>
      <c r="F53" s="5"/>
      <c r="G53" s="59" t="str">
        <f>"(Ln "&amp;$B$48&amp;" / 4160)"</f>
        <v>(Ln 14 / 4160)</v>
      </c>
      <c r="H53" s="5"/>
      <c r="I53" s="2">
        <f>ROUND(+I48/4160,4)</f>
        <v>17.773499999999999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3">
      <c r="B54" s="14">
        <f t="shared" si="0"/>
        <v>20</v>
      </c>
      <c r="C54" s="5"/>
      <c r="D54" s="5" t="str">
        <f>"Hourly Off-Peak Point-to-Point Rate in $/MW - Hour"</f>
        <v>Hourly Off-Peak Point-to-Point Rate in $/MW - Hour</v>
      </c>
      <c r="E54" s="5"/>
      <c r="F54" s="5"/>
      <c r="G54" s="59" t="str">
        <f>"(Ln "&amp;$B$48&amp;" / 8760)"</f>
        <v>(Ln 14 / 8760)</v>
      </c>
      <c r="H54" s="5"/>
      <c r="I54" s="2">
        <f>ROUND(+I48/8760,4)</f>
        <v>8.4404000000000003</v>
      </c>
      <c r="J54" s="5"/>
      <c r="K54" s="5"/>
      <c r="L54" s="5"/>
      <c r="M54" s="5"/>
      <c r="N54" s="5"/>
      <c r="P54" s="5"/>
      <c r="Q54" s="5"/>
      <c r="R54" s="5"/>
      <c r="S54" s="5"/>
      <c r="T54" s="5"/>
      <c r="U54" s="5"/>
    </row>
    <row r="55" spans="1:23">
      <c r="G55" s="49"/>
      <c r="H55" s="12"/>
      <c r="J55" s="12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3">
      <c r="A56" s="17" t="s">
        <v>159</v>
      </c>
      <c r="B56" s="20" t="s">
        <v>160</v>
      </c>
      <c r="C56" s="14"/>
      <c r="D56" s="9"/>
      <c r="E56" s="14"/>
      <c r="F56" s="9"/>
      <c r="G56" s="14"/>
      <c r="H56" s="9"/>
      <c r="J56" s="9"/>
      <c r="L56" s="9"/>
    </row>
    <row r="57" spans="1:23">
      <c r="B57" s="13">
        <f>+B54+1</f>
        <v>21</v>
      </c>
      <c r="C57" s="5"/>
      <c r="D57" s="5" t="str">
        <f>"RTEP UPGRADE PTRR W/O INCENTIVES"</f>
        <v>RTEP UPGRADE PTRR W/O INCENTIVES</v>
      </c>
      <c r="G57" s="28" t="str">
        <f>"(Ln "&amp;B24&amp;")"</f>
        <v>(Ln 7)</v>
      </c>
      <c r="H57" s="5"/>
      <c r="I57" s="60">
        <f t="shared" ref="I57:I62" si="1">SUM(Q57,K57,S57,O57,M57,)</f>
        <v>143912532.39314485</v>
      </c>
      <c r="J57" s="5"/>
      <c r="K57" s="61">
        <f>+K22</f>
        <v>0</v>
      </c>
      <c r="L57" s="5"/>
      <c r="M57" s="61">
        <f>+M22</f>
        <v>49191628.168834932</v>
      </c>
      <c r="N57" s="4"/>
      <c r="O57" s="61">
        <f>+O22</f>
        <v>4764985.4899237761</v>
      </c>
      <c r="P57" s="4"/>
      <c r="Q57" s="61">
        <f>+Q22</f>
        <v>40603282.370092437</v>
      </c>
      <c r="R57" s="4"/>
      <c r="S57" s="61">
        <f>+S22</f>
        <v>49352636.364293709</v>
      </c>
    </row>
    <row r="58" spans="1:23">
      <c r="B58" s="13">
        <f>+B57+1</f>
        <v>22</v>
      </c>
      <c r="C58" s="5"/>
      <c r="D58" s="2" t="s">
        <v>161</v>
      </c>
      <c r="G58" s="44" t="str">
        <f>"(Worksheet J)"</f>
        <v>(Worksheet J)</v>
      </c>
      <c r="H58" s="5"/>
      <c r="I58" s="60">
        <f t="shared" si="1"/>
        <v>0</v>
      </c>
      <c r="J58" s="5"/>
      <c r="K58" s="7">
        <v>0</v>
      </c>
      <c r="L58" s="5"/>
      <c r="M58" s="8">
        <v>0</v>
      </c>
      <c r="N58" s="4"/>
      <c r="O58" s="8">
        <v>0</v>
      </c>
      <c r="P58" s="4"/>
      <c r="Q58" s="62">
        <v>0</v>
      </c>
      <c r="R58" s="4"/>
      <c r="S58" s="8">
        <v>0</v>
      </c>
    </row>
    <row r="59" spans="1:23">
      <c r="B59" s="13">
        <f>+B58+1</f>
        <v>23</v>
      </c>
      <c r="C59" s="5"/>
      <c r="D59" s="2" t="s">
        <v>162</v>
      </c>
      <c r="G59" s="28" t="s">
        <v>185</v>
      </c>
      <c r="H59" s="5"/>
      <c r="I59" s="60">
        <f t="shared" si="1"/>
        <v>-5637712.3626735713</v>
      </c>
      <c r="J59" s="5"/>
      <c r="K59" s="62">
        <v>0</v>
      </c>
      <c r="L59" s="5"/>
      <c r="M59" s="7">
        <v>-3719283.6490858211</v>
      </c>
      <c r="N59" s="60"/>
      <c r="O59" s="7">
        <v>49629.28928083607</v>
      </c>
      <c r="P59" s="60"/>
      <c r="Q59" s="7">
        <v>-1277548.5390504301</v>
      </c>
      <c r="R59" s="60"/>
      <c r="S59" s="7">
        <v>-690509.46381815628</v>
      </c>
      <c r="T59" s="4"/>
      <c r="U59" s="7"/>
      <c r="V59" s="4"/>
      <c r="W59" s="8"/>
    </row>
    <row r="60" spans="1:23">
      <c r="B60" s="13">
        <f>+B59+1</f>
        <v>24</v>
      </c>
      <c r="C60" s="5"/>
      <c r="D60" s="2" t="s">
        <v>163</v>
      </c>
      <c r="G60" s="28"/>
      <c r="H60" s="5"/>
      <c r="I60" s="60">
        <f t="shared" si="1"/>
        <v>-7905725.1045419807</v>
      </c>
      <c r="J60" s="5"/>
      <c r="K60" s="62">
        <v>0</v>
      </c>
      <c r="L60" s="5"/>
      <c r="M60" s="7">
        <v>-2624192.0175339598</v>
      </c>
      <c r="N60" s="60"/>
      <c r="O60" s="7">
        <v>-345326.72220901551</v>
      </c>
      <c r="P60" s="60"/>
      <c r="Q60" s="7">
        <v>-1754846.2800733184</v>
      </c>
      <c r="R60" s="60"/>
      <c r="S60" s="7">
        <v>-3181360.0847256868</v>
      </c>
      <c r="T60" s="4"/>
      <c r="U60" s="7"/>
      <c r="V60" s="4"/>
      <c r="W60" s="8"/>
    </row>
    <row r="61" spans="1:23">
      <c r="B61" s="13">
        <f t="shared" ref="B61:B63" si="2">+B60+1</f>
        <v>25</v>
      </c>
      <c r="C61" s="5"/>
      <c r="D61" s="2" t="s">
        <v>164</v>
      </c>
      <c r="G61" s="28"/>
      <c r="H61" s="5"/>
      <c r="I61" s="60">
        <f t="shared" si="1"/>
        <v>-56007.733109310284</v>
      </c>
      <c r="J61" s="5"/>
      <c r="K61" s="62">
        <v>0</v>
      </c>
      <c r="L61" s="5"/>
      <c r="M61" s="7">
        <v>-21068.703581315724</v>
      </c>
      <c r="N61" s="60"/>
      <c r="O61" s="7">
        <v>-2828.1802324276332</v>
      </c>
      <c r="P61" s="60"/>
      <c r="Q61" s="7">
        <v>-15604.690602671317</v>
      </c>
      <c r="R61" s="60"/>
      <c r="S61" s="7">
        <v>-16506.158692895613</v>
      </c>
      <c r="T61" s="4"/>
      <c r="U61" s="7"/>
      <c r="V61" s="4"/>
      <c r="W61" s="8"/>
    </row>
    <row r="62" spans="1:23" ht="15.95" thickBot="1">
      <c r="B62" s="13">
        <f t="shared" si="2"/>
        <v>26</v>
      </c>
      <c r="C62" s="5"/>
      <c r="D62" s="2" t="s">
        <v>165</v>
      </c>
      <c r="G62" s="28"/>
      <c r="H62" s="5"/>
      <c r="I62" s="60">
        <f t="shared" si="1"/>
        <v>3585336.6333890799</v>
      </c>
      <c r="J62" s="5"/>
      <c r="K62" s="62">
        <v>0</v>
      </c>
      <c r="L62" s="5"/>
      <c r="M62" s="7">
        <f>-M40</f>
        <v>3585336.6333890799</v>
      </c>
      <c r="N62" s="60"/>
      <c r="O62" s="7">
        <v>0</v>
      </c>
      <c r="P62" s="60"/>
      <c r="Q62" s="7">
        <v>0</v>
      </c>
      <c r="R62" s="60"/>
      <c r="S62" s="7">
        <v>0</v>
      </c>
      <c r="T62" s="4"/>
      <c r="U62" s="7"/>
      <c r="V62" s="4"/>
      <c r="W62" s="8"/>
    </row>
    <row r="63" spans="1:23" ht="15.95" thickBot="1">
      <c r="B63" s="13">
        <f t="shared" si="2"/>
        <v>27</v>
      </c>
      <c r="C63" s="5"/>
      <c r="D63" s="65" t="s">
        <v>166</v>
      </c>
      <c r="E63" s="53"/>
      <c r="F63" s="53"/>
      <c r="G63" s="66"/>
      <c r="H63" s="66"/>
      <c r="I63" s="67">
        <f>+I57+I58+I59+I60+I61+I62</f>
        <v>133898423.82620905</v>
      </c>
      <c r="J63" s="5"/>
      <c r="K63" s="68">
        <f>+K57+K58+K59+K60+K61+K62</f>
        <v>0</v>
      </c>
      <c r="L63" s="5"/>
      <c r="M63" s="68">
        <f>+M57+M58+M59+M60+M61+M62</f>
        <v>46412420.432022914</v>
      </c>
      <c r="N63" s="4"/>
      <c r="O63" s="68">
        <f>+O57+O58+O59+O60+O61+O62</f>
        <v>4466459.8767631687</v>
      </c>
      <c r="P63" s="4"/>
      <c r="Q63" s="68">
        <f>+Q57+Q58+Q59+Q60+Q61+Q62</f>
        <v>37555282.860366024</v>
      </c>
      <c r="R63" s="4"/>
      <c r="S63" s="68">
        <f>+S57+S58+S59+S60+S61+S62</f>
        <v>45464260.657056972</v>
      </c>
    </row>
    <row r="64" spans="1:23">
      <c r="B64" s="5"/>
      <c r="C64" s="5"/>
      <c r="D64" s="5"/>
      <c r="E64" s="5"/>
      <c r="F64" s="5"/>
      <c r="G64" s="5"/>
      <c r="H64" s="5"/>
      <c r="I64" s="4"/>
      <c r="J64" s="5"/>
      <c r="L64" s="5"/>
      <c r="M64" s="5"/>
      <c r="N64" s="4"/>
      <c r="O64" s="5"/>
      <c r="P64" s="4"/>
      <c r="Q64" s="5"/>
      <c r="R64" s="4"/>
      <c r="S64" s="5"/>
    </row>
    <row r="65" spans="2:19">
      <c r="B65" s="5"/>
      <c r="C65" s="5"/>
      <c r="D65" s="5" t="s">
        <v>30</v>
      </c>
      <c r="E65" s="69" t="s">
        <v>30</v>
      </c>
      <c r="F65" s="5"/>
      <c r="G65" s="5"/>
      <c r="H65" s="5"/>
      <c r="I65" s="4"/>
      <c r="J65" s="5"/>
      <c r="L65" s="5"/>
      <c r="M65" s="5"/>
      <c r="N65" s="4"/>
      <c r="O65" s="5"/>
      <c r="P65" s="4"/>
      <c r="Q65" s="5"/>
      <c r="R65" s="4"/>
      <c r="S65" s="5"/>
    </row>
    <row r="66" spans="2:19">
      <c r="B66" s="9"/>
      <c r="C66" s="9"/>
      <c r="D66" s="9"/>
      <c r="E66" s="9"/>
      <c r="F66" s="9"/>
      <c r="G66" s="9"/>
      <c r="H66" s="9"/>
      <c r="I66" s="4"/>
      <c r="J66" s="9"/>
      <c r="K66" s="9"/>
      <c r="L66" s="9"/>
      <c r="M66" s="9"/>
      <c r="N66" s="4"/>
      <c r="O66" s="4"/>
      <c r="P66" s="4"/>
      <c r="R66" s="4"/>
      <c r="S66" s="4"/>
    </row>
    <row r="67" spans="2:19">
      <c r="B67" s="9"/>
      <c r="C67" s="9"/>
      <c r="D67" s="9"/>
      <c r="E67" s="9"/>
      <c r="F67" s="9"/>
      <c r="G67" s="9"/>
      <c r="H67" s="9"/>
      <c r="I67" s="60"/>
      <c r="J67" s="9"/>
      <c r="K67" s="9"/>
      <c r="L67" s="9"/>
      <c r="M67" s="9"/>
      <c r="N67" s="4"/>
      <c r="O67" s="4"/>
      <c r="P67" s="4"/>
      <c r="R67" s="4"/>
      <c r="S67" s="4"/>
    </row>
    <row r="68" spans="2:19">
      <c r="B68" s="9"/>
      <c r="C68" s="9"/>
      <c r="D68" s="9"/>
      <c r="E68" s="9"/>
      <c r="F68" s="9"/>
      <c r="G68" s="9"/>
      <c r="H68" s="9"/>
      <c r="I68" s="10"/>
      <c r="J68" s="9"/>
      <c r="K68" s="9"/>
      <c r="L68" s="9"/>
      <c r="M68" s="9"/>
      <c r="N68" s="4"/>
      <c r="P68" s="4"/>
      <c r="Q68" s="4"/>
      <c r="R68" s="4"/>
      <c r="S68" s="4"/>
    </row>
    <row r="69" spans="2:19">
      <c r="B69" s="9"/>
      <c r="C69" s="9"/>
      <c r="D69" s="9"/>
      <c r="E69" s="9"/>
      <c r="F69" s="9"/>
      <c r="G69" s="9"/>
      <c r="H69" s="9"/>
      <c r="I69" s="4"/>
      <c r="J69" s="9"/>
      <c r="K69" s="9"/>
      <c r="L69" s="9"/>
      <c r="M69" s="9"/>
      <c r="N69" s="4"/>
      <c r="P69" s="4"/>
      <c r="Q69" s="4"/>
      <c r="R69" s="4"/>
      <c r="S69" s="4"/>
    </row>
    <row r="70" spans="2:19">
      <c r="B70" s="9"/>
      <c r="C70" s="9"/>
      <c r="D70" s="9"/>
      <c r="E70" s="9"/>
      <c r="F70" s="9"/>
      <c r="G70" s="9"/>
      <c r="H70" s="9"/>
      <c r="I70" s="4"/>
      <c r="J70" s="9"/>
      <c r="K70" s="9"/>
      <c r="L70" s="9"/>
      <c r="M70" s="9"/>
      <c r="N70" s="4"/>
      <c r="P70" s="4"/>
      <c r="Q70" s="4"/>
      <c r="R70" s="4"/>
      <c r="S70" s="4"/>
    </row>
    <row r="71" spans="2:19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P71" s="4"/>
      <c r="Q71" s="4"/>
      <c r="R71" s="4"/>
      <c r="S71" s="4"/>
    </row>
    <row r="72" spans="2:19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P72" s="4"/>
      <c r="Q72" s="4"/>
      <c r="R72" s="4"/>
      <c r="S72" s="4"/>
    </row>
    <row r="73" spans="2:19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P73" s="4"/>
      <c r="Q73" s="4"/>
      <c r="R73" s="4"/>
      <c r="S73" s="4"/>
    </row>
    <row r="74" spans="2:19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P74" s="4"/>
      <c r="Q74" s="4"/>
      <c r="R74" s="4"/>
      <c r="S74" s="4"/>
    </row>
    <row r="75" spans="2:19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P75" s="4"/>
      <c r="Q75" s="4"/>
      <c r="R75" s="4"/>
      <c r="S75" s="4"/>
    </row>
    <row r="76" spans="2:19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2:19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2:19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2:19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2:19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2:19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2:19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2:19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2:19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2:19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2:19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2:19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2:19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2:19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2:19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2:19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2:19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2:19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2:19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2:19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2:19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2:19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2:19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2:19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2:19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2:19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2:19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2:19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2:19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2:19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2:19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2:19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2:19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2:19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2:19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2:19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2:19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2:19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2:19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2:19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2:19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2:19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2:19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2:19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2:19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2:19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2:19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2:19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2:19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2:19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2:19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2:19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2:19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2:19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2:19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</sheetData>
  <mergeCells count="5">
    <mergeCell ref="A3:S3"/>
    <mergeCell ref="A4:S4"/>
    <mergeCell ref="A5:S5"/>
    <mergeCell ref="A8:R8"/>
    <mergeCell ref="D19:E19"/>
  </mergeCells>
  <printOptions horizontalCentered="1"/>
  <pageMargins left="0.41" right="0.23" top="1.75" bottom="0.33" header="1.25" footer="0.17"/>
  <pageSetup scale="35" orientation="landscape" r:id="rId1"/>
  <headerFooter alignWithMargins="0">
    <oddHeader>&amp;R&amp;18Transmission Service PTRR
Page 1 of 2</oddHeader>
    <oddFooter xml:space="preserve">&amp;C 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wvc2lzbD48VXNlck5hbWU+Q09SUFxzMjAzNzA3PC9Vc2VyTmFtZT48RGF0ZVRpbWU+NC8yNi8yMDIzIDQ6NTI6NTAgUE08L0RhdGVUaW1lPjxMYWJlbFN0cmluZz5VbmNhdGVnb3JpemVkPC9MYWJlbFN0cmluZz48L2l0ZW0+PC9sYWJlbEhpc3Rvcnk+</Value>
</WrappedLabelHistory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</sisl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480B90-6D55-47E6-B231-0D1B47C24177}"/>
</file>

<file path=customXml/itemProps2.xml><?xml version="1.0" encoding="utf-8"?>
<ds:datastoreItem xmlns:ds="http://schemas.openxmlformats.org/officeDocument/2006/customXml" ds:itemID="{FDBA522B-78DE-4637-833F-1F2F1C52E40B}"/>
</file>

<file path=customXml/itemProps3.xml><?xml version="1.0" encoding="utf-8"?>
<ds:datastoreItem xmlns:ds="http://schemas.openxmlformats.org/officeDocument/2006/customXml" ds:itemID="{838CC72E-E972-40E2-8E6D-857E04704B5D}"/>
</file>

<file path=customXml/itemProps4.xml><?xml version="1.0" encoding="utf-8"?>
<ds:datastoreItem xmlns:ds="http://schemas.openxmlformats.org/officeDocument/2006/customXml" ds:itemID="{808C1D5E-82F7-45C5-8828-30C5BEEAD6AB}"/>
</file>

<file path=customXml/itemProps5.xml><?xml version="1.0" encoding="utf-8"?>
<ds:datastoreItem xmlns:ds="http://schemas.openxmlformats.org/officeDocument/2006/customXml" ds:itemID="{293F14D5-513A-4858-A49A-3287E1E42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Electric Power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Vaughan</dc:creator>
  <cp:keywords/>
  <dc:description/>
  <cp:lastModifiedBy>Tanner S Wolffram</cp:lastModifiedBy>
  <cp:revision/>
  <dcterms:created xsi:type="dcterms:W3CDTF">2017-01-24T12:40:00Z</dcterms:created>
  <dcterms:modified xsi:type="dcterms:W3CDTF">2026-05-07T13:02:36Z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66945d7d-1be2-4ce2-96cf-0b5e82fdcea6</vt:lpwstr>
  </property>
  <property fmtid="{D5CDD505-2E9C-101B-9397-08002B2CF9AE}" pid="3" name="bjSaver">
    <vt:lpwstr>N1DSBWDQZIeY/VRw0Xy3fwx0B1BRPR0Y</vt:lpwstr>
  </property>
  <property fmtid="{D5CDD505-2E9C-101B-9397-08002B2CF9AE}" pid="4" name="bjDocumentSecurityLabel">
    <vt:lpwstr>Uncategorized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/&gt;&lt;/sisl&gt;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{838CC72E-E972-40E2-8E6D-857E04704B5D}</vt:lpwstr>
  </property>
  <property fmtid="{D5CDD505-2E9C-101B-9397-08002B2CF9AE}" pid="12" name="ContentTypeId">
    <vt:lpwstr>0x0101004DF805D1E1DA4A49A223477D3B105720</vt:lpwstr>
  </property>
  <property fmtid="{D5CDD505-2E9C-101B-9397-08002B2CF9AE}" pid="13" name="bjpmDocIH">
    <vt:lpwstr>rF9e2tlYqSWhqVJb8KFazn8B1nIeX/p4</vt:lpwstr>
  </property>
  <property fmtid="{D5CDD505-2E9C-101B-9397-08002B2CF9AE}" pid="14" name="MediaServiceImageTags">
    <vt:lpwstr/>
  </property>
</Properties>
</file>